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erran\Desktop\INFO 2020\Programas para la web\Térmica\"/>
    </mc:Choice>
  </mc:AlternateContent>
  <workbookProtection workbookPassword="D60A" lockStructure="1"/>
  <bookViews>
    <workbookView xWindow="0" yWindow="0" windowWidth="20490" windowHeight="7155" tabRatio="786"/>
  </bookViews>
  <sheets>
    <sheet name="DATA" sheetId="18" r:id="rId1"/>
    <sheet name="TranslationInterface" sheetId="36" state="hidden" r:id="rId2"/>
    <sheet name="Default data" sheetId="19" state="hidden" r:id="rId3"/>
    <sheet name="CalculationBefore" sheetId="20" state="hidden" r:id="rId4"/>
    <sheet name="BalanceTermico Inicial" sheetId="24" state="hidden" r:id="rId5"/>
    <sheet name="BalanceTermico Final" sheetId="25" state="hidden" r:id="rId6"/>
    <sheet name="CalculationAfter" sheetId="4" state="hidden" r:id="rId7"/>
    <sheet name="HEATING" sheetId="34" r:id="rId8"/>
    <sheet name="DET_HEAT" sheetId="32" r:id="rId9"/>
    <sheet name="COOLING" sheetId="35" r:id="rId10"/>
    <sheet name="DETAILED_COOL" sheetId="33" r:id="rId11"/>
    <sheet name="Cities" sheetId="5" r:id="rId12"/>
    <sheet name="ComparacionRehabilitacion" sheetId="26" state="hidden" r:id="rId13"/>
    <sheet name="Products" sheetId="29" r:id="rId14"/>
    <sheet name="Costs" sheetId="30" r:id="rId15"/>
    <sheet name="Detailled" sheetId="31" state="hidden" r:id="rId16"/>
  </sheets>
  <externalReferences>
    <externalReference r:id="rId17"/>
  </externalReferences>
  <definedNames>
    <definedName name="_xlnm._FilterDatabase" localSheetId="13" hidden="1">Products!$A$1:$H$115</definedName>
    <definedName name="CAMBRA_AIRE_SOSTRE">[1]RESUMEN!#REF!</definedName>
    <definedName name="CARTRO_GUIX">[1]RESUMEN!#REF!</definedName>
    <definedName name="PUR_CONFORMAT_I">[1]RESUMEN!#REF!</definedName>
    <definedName name="PUR_CONFORMAT_II">[1]RESUMEN!#REF!</definedName>
    <definedName name="PUR_IN_SITU__COLADA">[1]RESUMEN!#REF!</definedName>
  </definedNames>
  <calcPr calcId="152511"/>
</workbook>
</file>

<file path=xl/calcChain.xml><?xml version="1.0" encoding="utf-8"?>
<calcChain xmlns="http://schemas.openxmlformats.org/spreadsheetml/2006/main">
  <c r="C113" i="20" l="1"/>
  <c r="C115" i="20" s="1"/>
  <c r="C112" i="20"/>
  <c r="C114" i="20" s="1"/>
  <c r="E108" i="4"/>
  <c r="E111" i="4" s="1"/>
  <c r="F108" i="4"/>
  <c r="F111" i="4" s="1"/>
  <c r="G108" i="4"/>
  <c r="G111" i="4" s="1"/>
  <c r="H108" i="4"/>
  <c r="H111" i="4" s="1"/>
  <c r="I108" i="4"/>
  <c r="I111" i="4" s="1"/>
  <c r="J108" i="4"/>
  <c r="J111" i="4" s="1"/>
  <c r="K108" i="4"/>
  <c r="K111" i="4" s="1"/>
  <c r="L108" i="4"/>
  <c r="L111" i="4" s="1"/>
  <c r="M108" i="4"/>
  <c r="M111" i="4" s="1"/>
  <c r="N108" i="4"/>
  <c r="N111" i="4" s="1"/>
  <c r="O108" i="4"/>
  <c r="O111" i="4" s="1"/>
  <c r="D108" i="4"/>
  <c r="D111" i="4" s="1"/>
  <c r="C113" i="4"/>
  <c r="C115" i="4" s="1"/>
  <c r="C112" i="4"/>
  <c r="C114" i="4" s="1"/>
  <c r="I193" i="18"/>
  <c r="I192" i="18"/>
  <c r="P163" i="18"/>
  <c r="O163" i="18"/>
  <c r="N163" i="18"/>
  <c r="M163" i="18"/>
  <c r="N196" i="18" s="1"/>
  <c r="N199" i="18"/>
  <c r="N198" i="18"/>
  <c r="N197" i="18"/>
  <c r="I177" i="18"/>
  <c r="I178" i="18"/>
  <c r="I179" i="18"/>
  <c r="I180" i="18"/>
  <c r="I181" i="18"/>
  <c r="I182" i="18"/>
  <c r="I183" i="18"/>
  <c r="I184" i="18"/>
  <c r="I185" i="18"/>
  <c r="I186" i="18"/>
  <c r="I187" i="18"/>
  <c r="I188" i="18"/>
  <c r="I189" i="18"/>
  <c r="I190" i="18"/>
  <c r="I176" i="18"/>
  <c r="I166" i="18"/>
  <c r="I167" i="18"/>
  <c r="I168" i="18"/>
  <c r="I169" i="18"/>
  <c r="I170" i="18"/>
  <c r="I165" i="18"/>
  <c r="I146" i="18"/>
  <c r="I147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I160" i="18"/>
  <c r="I145" i="18"/>
  <c r="R143" i="18" l="1"/>
  <c r="L201" i="18" s="1"/>
  <c r="L143" i="18"/>
  <c r="I197" i="18" s="1"/>
  <c r="M143" i="18"/>
  <c r="L196" i="18" s="1"/>
  <c r="N143" i="18"/>
  <c r="L197" i="18" s="1"/>
  <c r="O143" i="18"/>
  <c r="L198" i="18" s="1"/>
  <c r="P143" i="18"/>
  <c r="L199" i="18" s="1"/>
  <c r="Q143" i="18"/>
  <c r="L200" i="18" s="1"/>
  <c r="K143" i="18"/>
  <c r="I196" i="18" s="1"/>
  <c r="L163" i="18" l="1"/>
  <c r="K163" i="18"/>
  <c r="A11" i="26"/>
  <c r="E2" i="26"/>
  <c r="E11" i="26" s="1"/>
  <c r="D2" i="26"/>
  <c r="D11" i="26" s="1"/>
  <c r="C2" i="26"/>
  <c r="C11" i="26" s="1"/>
  <c r="B2" i="26"/>
  <c r="B11" i="26" s="1"/>
  <c r="A13" i="26"/>
  <c r="A14" i="26"/>
  <c r="A15" i="26"/>
  <c r="A16" i="26"/>
  <c r="A17" i="26"/>
  <c r="A12" i="26"/>
  <c r="A4" i="26"/>
  <c r="A5" i="26"/>
  <c r="A6" i="26"/>
  <c r="A7" i="26"/>
  <c r="A8" i="26"/>
  <c r="A3" i="26"/>
  <c r="A2" i="26"/>
  <c r="A17" i="24"/>
  <c r="A18" i="24"/>
  <c r="A19" i="24"/>
  <c r="A20" i="24"/>
  <c r="A21" i="24"/>
  <c r="A22" i="24"/>
  <c r="A23" i="24"/>
  <c r="A24" i="24"/>
  <c r="A25" i="24"/>
  <c r="A16" i="24"/>
  <c r="A4" i="24"/>
  <c r="A5" i="24"/>
  <c r="A6" i="24"/>
  <c r="A7" i="24"/>
  <c r="A8" i="24"/>
  <c r="A9" i="24"/>
  <c r="A10" i="24"/>
  <c r="A11" i="24"/>
  <c r="A12" i="24"/>
  <c r="A3" i="24"/>
  <c r="A99" i="19"/>
  <c r="A98" i="19"/>
  <c r="A97" i="19"/>
  <c r="A94" i="19"/>
  <c r="A93" i="19"/>
  <c r="A92" i="19"/>
  <c r="A91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52" i="19"/>
  <c r="A51" i="19"/>
  <c r="A50" i="19"/>
  <c r="A49" i="19"/>
  <c r="A48" i="19"/>
  <c r="A47" i="19"/>
  <c r="A46" i="19"/>
  <c r="A45" i="19"/>
  <c r="A40" i="19"/>
  <c r="A39" i="19"/>
  <c r="A38" i="19"/>
  <c r="A37" i="19"/>
  <c r="A36" i="19"/>
  <c r="A33" i="19"/>
  <c r="A32" i="19"/>
  <c r="A31" i="19"/>
  <c r="A30" i="19"/>
  <c r="A29" i="19"/>
  <c r="A28" i="19"/>
  <c r="A24" i="19"/>
  <c r="A23" i="19"/>
  <c r="A22" i="19"/>
  <c r="A21" i="19"/>
  <c r="A18" i="19"/>
  <c r="A17" i="19"/>
  <c r="A16" i="19"/>
  <c r="A15" i="19"/>
  <c r="A12" i="19"/>
  <c r="A11" i="19"/>
  <c r="A10" i="19"/>
  <c r="A9" i="19"/>
  <c r="A3" i="19"/>
  <c r="A4" i="19"/>
  <c r="A5" i="19"/>
  <c r="A6" i="19"/>
  <c r="A2" i="19"/>
  <c r="E74" i="36"/>
  <c r="A223" i="18" s="1"/>
  <c r="E75" i="36"/>
  <c r="A234" i="18" s="1"/>
  <c r="E76" i="36"/>
  <c r="A231" i="18" s="1"/>
  <c r="E77" i="36"/>
  <c r="E78" i="36"/>
  <c r="E79" i="36"/>
  <c r="A239" i="18" s="1"/>
  <c r="E80" i="36"/>
  <c r="A241" i="18" s="1"/>
  <c r="E81" i="36"/>
  <c r="D238" i="18" s="1"/>
  <c r="E82" i="36"/>
  <c r="D239" i="18" s="1"/>
  <c r="E69" i="36"/>
  <c r="C193" i="18" s="1"/>
  <c r="E70" i="36"/>
  <c r="D201" i="18" s="1"/>
  <c r="E71" i="36"/>
  <c r="E201" i="18" s="1"/>
  <c r="E72" i="36"/>
  <c r="F201" i="18" s="1"/>
  <c r="E73" i="36"/>
  <c r="G193" i="18" s="1"/>
  <c r="E64" i="36"/>
  <c r="B194" i="18" s="1"/>
  <c r="E65" i="36"/>
  <c r="B203" i="18" s="1"/>
  <c r="E66" i="36"/>
  <c r="B204" i="18" s="1"/>
  <c r="E67" i="36"/>
  <c r="B197" i="18" s="1"/>
  <c r="E68" i="36"/>
  <c r="B206" i="18" s="1"/>
  <c r="E62" i="36"/>
  <c r="B192" i="18" s="1"/>
  <c r="E63" i="36"/>
  <c r="B200" i="18" s="1"/>
  <c r="E61" i="36"/>
  <c r="B182" i="18" s="1"/>
  <c r="E57" i="36"/>
  <c r="A165" i="18" s="1"/>
  <c r="E58" i="36"/>
  <c r="B166" i="18" s="1"/>
  <c r="E59" i="36"/>
  <c r="B178" i="18" s="1"/>
  <c r="E60" i="36"/>
  <c r="B180" i="18" s="1"/>
  <c r="E56" i="36"/>
  <c r="B179" i="18" s="1"/>
  <c r="E50" i="36"/>
  <c r="B181" i="18" s="1"/>
  <c r="E51" i="36"/>
  <c r="B183" i="18" s="1"/>
  <c r="E52" i="36"/>
  <c r="B184" i="18" s="1"/>
  <c r="E53" i="36"/>
  <c r="B185" i="18" s="1"/>
  <c r="E54" i="36"/>
  <c r="B186" i="18" s="1"/>
  <c r="E55" i="36"/>
  <c r="B187" i="18" s="1"/>
  <c r="E49" i="36"/>
  <c r="A90" i="18" s="1"/>
  <c r="E46" i="36"/>
  <c r="B53" i="18" s="1"/>
  <c r="E47" i="36"/>
  <c r="C53" i="18" s="1"/>
  <c r="E48" i="36"/>
  <c r="D53" i="18" s="1"/>
  <c r="E45" i="36"/>
  <c r="A91" i="18" s="1"/>
  <c r="E38" i="36"/>
  <c r="A67" i="18" s="1"/>
  <c r="E39" i="36"/>
  <c r="A103" i="18" s="1"/>
  <c r="E40" i="36"/>
  <c r="A75" i="18" s="1"/>
  <c r="E41" i="36"/>
  <c r="A79" i="18" s="1"/>
  <c r="E42" i="36"/>
  <c r="A82" i="18" s="1"/>
  <c r="E43" i="36"/>
  <c r="A85" i="18" s="1"/>
  <c r="E44" i="36"/>
  <c r="A87" i="18" s="1"/>
  <c r="E34" i="36"/>
  <c r="A20" i="18" s="1"/>
  <c r="E35" i="36"/>
  <c r="A22" i="18" s="1"/>
  <c r="E36" i="36"/>
  <c r="A25" i="18" s="1"/>
  <c r="E37" i="36"/>
  <c r="A27" i="18" s="1"/>
  <c r="E32" i="36"/>
  <c r="A17" i="18" s="1"/>
  <c r="E33" i="36"/>
  <c r="A18" i="18" s="1"/>
  <c r="E25" i="36"/>
  <c r="A15" i="18" s="1"/>
  <c r="E26" i="36"/>
  <c r="B16" i="18" s="1"/>
  <c r="E27" i="36"/>
  <c r="C16" i="18" s="1"/>
  <c r="E28" i="36"/>
  <c r="D16" i="18" s="1"/>
  <c r="E29" i="36"/>
  <c r="E16" i="18" s="1"/>
  <c r="E30" i="36"/>
  <c r="F16" i="18" s="1"/>
  <c r="E31" i="36"/>
  <c r="G16" i="18" s="1"/>
  <c r="E23" i="36"/>
  <c r="A56" i="18" s="1"/>
  <c r="E24" i="36"/>
  <c r="A100" i="18" s="1"/>
  <c r="E7" i="36"/>
  <c r="A2" i="18" s="1"/>
  <c r="E8" i="36"/>
  <c r="A3" i="18" s="1"/>
  <c r="E9" i="36"/>
  <c r="A4" i="18" s="1"/>
  <c r="E10" i="36"/>
  <c r="A5" i="18" s="1"/>
  <c r="E11" i="36"/>
  <c r="A6" i="18" s="1"/>
  <c r="E12" i="36"/>
  <c r="A7" i="18" s="1"/>
  <c r="E13" i="36"/>
  <c r="A9" i="18" s="1"/>
  <c r="E14" i="36"/>
  <c r="A10" i="18" s="1"/>
  <c r="E15" i="36"/>
  <c r="A12" i="18" s="1"/>
  <c r="E16" i="36"/>
  <c r="A13" i="18" s="1"/>
  <c r="E17" i="36"/>
  <c r="E7" i="18" s="1"/>
  <c r="E18" i="36"/>
  <c r="E8" i="18" s="1"/>
  <c r="E19" i="36"/>
  <c r="E9" i="18" s="1"/>
  <c r="E20" i="36"/>
  <c r="E10" i="18" s="1"/>
  <c r="E21" i="36"/>
  <c r="E12" i="18" s="1"/>
  <c r="E22" i="36"/>
  <c r="E13" i="18" s="1"/>
  <c r="E6" i="36"/>
  <c r="A1" i="18" s="1"/>
  <c r="D193" i="18" l="1"/>
  <c r="A227" i="18"/>
  <c r="A235" i="18"/>
  <c r="D229" i="18"/>
  <c r="B195" i="18"/>
  <c r="B225" i="18"/>
  <c r="B171" i="18"/>
  <c r="B198" i="18"/>
  <c r="F225" i="18"/>
  <c r="C225" i="18"/>
  <c r="G225" i="18"/>
  <c r="A230" i="18"/>
  <c r="B202" i="18"/>
  <c r="F193" i="18"/>
  <c r="D225" i="18"/>
  <c r="B229" i="18"/>
  <c r="C201" i="18"/>
  <c r="E225" i="18"/>
  <c r="C229" i="18"/>
  <c r="A226" i="18"/>
  <c r="G201" i="18"/>
  <c r="B205" i="18"/>
  <c r="E193" i="18"/>
  <c r="B172" i="18"/>
  <c r="B196" i="18"/>
  <c r="B169" i="18"/>
  <c r="B173" i="18"/>
  <c r="B170" i="18"/>
  <c r="B174" i="18"/>
  <c r="A69" i="18"/>
  <c r="A113" i="18"/>
  <c r="A109" i="18"/>
  <c r="A101" i="18"/>
  <c r="A115" i="18"/>
  <c r="A64" i="18"/>
  <c r="A55" i="18"/>
  <c r="A98" i="18"/>
  <c r="A57" i="18"/>
  <c r="A92" i="18"/>
  <c r="A59" i="18"/>
  <c r="A93" i="18"/>
  <c r="A54" i="18"/>
  <c r="A62" i="18"/>
  <c r="A96" i="18"/>
  <c r="G6" i="18"/>
  <c r="A29" i="18"/>
  <c r="A66" i="18"/>
  <c r="C8" i="18"/>
  <c r="B8" i="18"/>
  <c r="A95" i="18"/>
  <c r="A19" i="18"/>
  <c r="F6" i="18"/>
  <c r="A60" i="31" l="1"/>
  <c r="A59" i="31"/>
  <c r="A58" i="31"/>
  <c r="A57" i="31"/>
  <c r="A47" i="31"/>
  <c r="A46" i="31"/>
  <c r="A45" i="31"/>
  <c r="A44" i="31"/>
  <c r="A14" i="31"/>
  <c r="A13" i="31"/>
  <c r="A12" i="31"/>
  <c r="A11" i="31"/>
  <c r="A27" i="31"/>
  <c r="A26" i="31"/>
  <c r="A25" i="31"/>
  <c r="A24" i="31"/>
  <c r="C309" i="20"/>
  <c r="Q239" i="20"/>
  <c r="C235" i="20"/>
  <c r="C233" i="20"/>
  <c r="C218" i="20"/>
  <c r="C216" i="20"/>
  <c r="C312" i="4"/>
  <c r="C310" i="4"/>
  <c r="C251" i="4"/>
  <c r="C249" i="4"/>
  <c r="C219" i="4"/>
  <c r="C217" i="4"/>
  <c r="C298" i="4"/>
  <c r="C295" i="4"/>
  <c r="C265" i="4"/>
  <c r="C233" i="4"/>
  <c r="C201" i="4"/>
  <c r="E116" i="18"/>
  <c r="E117" i="18" s="1"/>
  <c r="E235" i="18" s="1"/>
  <c r="D116" i="18"/>
  <c r="D117" i="18" s="1"/>
  <c r="D235" i="18" s="1"/>
  <c r="C116" i="18"/>
  <c r="C117" i="18" s="1"/>
  <c r="C235" i="18" s="1"/>
  <c r="B116" i="18"/>
  <c r="B117" i="18" s="1"/>
  <c r="B235" i="18" s="1"/>
  <c r="D83" i="18"/>
  <c r="B83" i="18"/>
  <c r="B84" i="18" s="1"/>
  <c r="B231" i="18" s="1"/>
  <c r="G46" i="18"/>
  <c r="F46" i="18"/>
  <c r="F47" i="18" s="1"/>
  <c r="F227" i="18" s="1"/>
  <c r="E46" i="18"/>
  <c r="D46" i="18"/>
  <c r="D47" i="18" s="1"/>
  <c r="D227" i="18" s="1"/>
  <c r="C46" i="18"/>
  <c r="B46" i="18"/>
  <c r="C110" i="18"/>
  <c r="D110" i="18"/>
  <c r="E110" i="18"/>
  <c r="B110" i="18"/>
  <c r="D76" i="18"/>
  <c r="C76" i="18"/>
  <c r="B76" i="18"/>
  <c r="C39" i="18"/>
  <c r="D39" i="18"/>
  <c r="E39" i="18"/>
  <c r="F39" i="18"/>
  <c r="G39" i="18"/>
  <c r="B39" i="18"/>
  <c r="C108" i="18"/>
  <c r="D108" i="18"/>
  <c r="E108" i="18"/>
  <c r="B108" i="18"/>
  <c r="C107" i="18"/>
  <c r="D107" i="18"/>
  <c r="E107" i="18"/>
  <c r="B107" i="18"/>
  <c r="E104" i="18"/>
  <c r="D104" i="18"/>
  <c r="C104" i="18"/>
  <c r="B104" i="18"/>
  <c r="C102" i="18"/>
  <c r="D102" i="18"/>
  <c r="E102" i="18"/>
  <c r="B102" i="18"/>
  <c r="B105" i="18" s="1"/>
  <c r="C73" i="18"/>
  <c r="D73" i="18"/>
  <c r="C74" i="18"/>
  <c r="D74" i="18"/>
  <c r="B74" i="18"/>
  <c r="D70" i="18"/>
  <c r="C70" i="18"/>
  <c r="B70" i="18"/>
  <c r="C68" i="18"/>
  <c r="D68" i="18"/>
  <c r="B68" i="18"/>
  <c r="C37" i="18"/>
  <c r="D37" i="18"/>
  <c r="E37" i="18"/>
  <c r="F37" i="18"/>
  <c r="G37" i="18"/>
  <c r="B37" i="18"/>
  <c r="C36" i="18"/>
  <c r="D36" i="18"/>
  <c r="E36" i="18"/>
  <c r="F36" i="18"/>
  <c r="G36" i="18"/>
  <c r="B36" i="18"/>
  <c r="G33" i="18"/>
  <c r="F33" i="18"/>
  <c r="E33" i="18"/>
  <c r="D33" i="18"/>
  <c r="C33" i="18"/>
  <c r="B33" i="18"/>
  <c r="C31" i="18"/>
  <c r="D31" i="18"/>
  <c r="D34" i="18" s="1"/>
  <c r="E31" i="18"/>
  <c r="F31" i="18"/>
  <c r="F34" i="18" s="1"/>
  <c r="G31" i="18"/>
  <c r="B31" i="18"/>
  <c r="H115" i="29"/>
  <c r="H114" i="29"/>
  <c r="H113" i="29"/>
  <c r="H112" i="29"/>
  <c r="H111" i="29"/>
  <c r="H110" i="29"/>
  <c r="H109" i="29"/>
  <c r="H108" i="29"/>
  <c r="H107" i="29"/>
  <c r="H106" i="29"/>
  <c r="H105" i="29"/>
  <c r="H104" i="29"/>
  <c r="H103" i="29"/>
  <c r="H102" i="29"/>
  <c r="H101" i="29"/>
  <c r="H100" i="29"/>
  <c r="H99" i="29"/>
  <c r="H98" i="29"/>
  <c r="H97" i="29"/>
  <c r="H96" i="29"/>
  <c r="H95" i="29"/>
  <c r="B73" i="18" s="1"/>
  <c r="H94" i="29"/>
  <c r="H93" i="29"/>
  <c r="H92" i="29"/>
  <c r="H91" i="29"/>
  <c r="H90" i="29"/>
  <c r="H89" i="29"/>
  <c r="H88" i="29"/>
  <c r="H87" i="29"/>
  <c r="H86" i="29"/>
  <c r="H85" i="29"/>
  <c r="H84" i="29"/>
  <c r="H83" i="29"/>
  <c r="H82" i="29"/>
  <c r="H81" i="29"/>
  <c r="H80" i="29"/>
  <c r="B11" i="18"/>
  <c r="C11" i="18"/>
  <c r="B7" i="18"/>
  <c r="H209" i="18"/>
  <c r="E216" i="18"/>
  <c r="C217" i="18" s="1"/>
  <c r="E215" i="18"/>
  <c r="C216" i="18" s="1"/>
  <c r="E214" i="18"/>
  <c r="C215" i="18" s="1"/>
  <c r="E213" i="18"/>
  <c r="C214" i="18" s="1"/>
  <c r="E212" i="18"/>
  <c r="C213" i="18" s="1"/>
  <c r="E211" i="18"/>
  <c r="C212" i="18" s="1"/>
  <c r="E49" i="19"/>
  <c r="E52" i="19"/>
  <c r="E45" i="19"/>
  <c r="D52" i="19"/>
  <c r="D51" i="19"/>
  <c r="E51" i="19" s="1"/>
  <c r="D50" i="19"/>
  <c r="E50" i="19" s="1"/>
  <c r="D48" i="19"/>
  <c r="E48" i="19" s="1"/>
  <c r="D49" i="19"/>
  <c r="D47" i="19"/>
  <c r="E47" i="19" s="1"/>
  <c r="D46" i="19"/>
  <c r="E46" i="19" s="1"/>
  <c r="D84" i="18"/>
  <c r="D231" i="18" s="1"/>
  <c r="D14" i="20"/>
  <c r="D3" i="20"/>
  <c r="Q207" i="20" s="1"/>
  <c r="C233" i="18"/>
  <c r="D233" i="18"/>
  <c r="E233" i="18"/>
  <c r="B233" i="18"/>
  <c r="G47" i="18"/>
  <c r="G227" i="18" s="1"/>
  <c r="E47" i="18"/>
  <c r="E227" i="18" s="1"/>
  <c r="C47" i="18"/>
  <c r="C227" i="18" s="1"/>
  <c r="C181" i="18"/>
  <c r="G197" i="18" s="1"/>
  <c r="C169" i="18"/>
  <c r="E205" i="18"/>
  <c r="F205" i="18" s="1"/>
  <c r="E197" i="18"/>
  <c r="F197" i="18" s="1"/>
  <c r="E99" i="18"/>
  <c r="O17" i="20" s="1"/>
  <c r="D99" i="18"/>
  <c r="N17" i="20" s="1"/>
  <c r="C99" i="18"/>
  <c r="M17" i="20" s="1"/>
  <c r="B99" i="18"/>
  <c r="L17" i="20" s="1"/>
  <c r="D61" i="18"/>
  <c r="K18" i="20" s="1"/>
  <c r="D60" i="18"/>
  <c r="K17" i="20" s="1"/>
  <c r="B61" i="18"/>
  <c r="B81" i="18" s="1"/>
  <c r="J18" i="4" s="1"/>
  <c r="B60" i="18"/>
  <c r="B80" i="18" s="1"/>
  <c r="J17" i="4" s="1"/>
  <c r="G24" i="18"/>
  <c r="I18" i="20" s="1"/>
  <c r="F24" i="18"/>
  <c r="F44" i="18" s="1"/>
  <c r="H18" i="4" s="1"/>
  <c r="E24" i="18"/>
  <c r="E44" i="18" s="1"/>
  <c r="G18" i="4" s="1"/>
  <c r="D24" i="18"/>
  <c r="F18" i="20" s="1"/>
  <c r="C24" i="18"/>
  <c r="C44" i="18" s="1"/>
  <c r="E18" i="4" s="1"/>
  <c r="G23" i="18"/>
  <c r="I17" i="20" s="1"/>
  <c r="F23" i="18"/>
  <c r="H17" i="20" s="1"/>
  <c r="E23" i="18"/>
  <c r="E43" i="18" s="1"/>
  <c r="G17" i="4" s="1"/>
  <c r="D23" i="18"/>
  <c r="F17" i="20" s="1"/>
  <c r="C23" i="18"/>
  <c r="C43" i="18" s="1"/>
  <c r="E17" i="4" s="1"/>
  <c r="B24" i="18"/>
  <c r="B44" i="18" s="1"/>
  <c r="D18" i="4" s="1"/>
  <c r="B23" i="18"/>
  <c r="D17" i="20" s="1"/>
  <c r="D65" i="18"/>
  <c r="K26" i="20" s="1"/>
  <c r="B65" i="18"/>
  <c r="J26" i="20" s="1"/>
  <c r="D63" i="18"/>
  <c r="K23" i="20" s="1"/>
  <c r="B63" i="18"/>
  <c r="J23" i="20" s="1"/>
  <c r="J34" i="20" s="1"/>
  <c r="G26" i="18"/>
  <c r="I23" i="20" s="1"/>
  <c r="I34" i="20" s="1"/>
  <c r="F26" i="18"/>
  <c r="H23" i="20" s="1"/>
  <c r="H34" i="20" s="1"/>
  <c r="E26" i="18"/>
  <c r="G23" i="20" s="1"/>
  <c r="G34" i="20" s="1"/>
  <c r="D26" i="18"/>
  <c r="F23" i="20" s="1"/>
  <c r="F34" i="20" s="1"/>
  <c r="C26" i="18"/>
  <c r="E23" i="20" s="1"/>
  <c r="E34" i="20" s="1"/>
  <c r="B26" i="18"/>
  <c r="D23" i="20" s="1"/>
  <c r="D34" i="20" s="1"/>
  <c r="E97" i="18"/>
  <c r="E106" i="18" s="1"/>
  <c r="O16" i="4" s="1"/>
  <c r="D97" i="18"/>
  <c r="C97" i="18"/>
  <c r="M16" i="20" s="1"/>
  <c r="B97" i="18"/>
  <c r="L16" i="20" s="1"/>
  <c r="D58" i="18"/>
  <c r="K16" i="20" s="1"/>
  <c r="C58" i="18"/>
  <c r="Q16" i="20" s="1"/>
  <c r="B58" i="18"/>
  <c r="J16" i="20" s="1"/>
  <c r="C21" i="18"/>
  <c r="E16" i="20" s="1"/>
  <c r="D21" i="18"/>
  <c r="F16" i="20" s="1"/>
  <c r="E21" i="18"/>
  <c r="G16" i="20" s="1"/>
  <c r="F21" i="18"/>
  <c r="H16" i="20" s="1"/>
  <c r="G21" i="18"/>
  <c r="I16" i="20" s="1"/>
  <c r="B21" i="18"/>
  <c r="D16" i="20" s="1"/>
  <c r="B64" i="19"/>
  <c r="B62" i="19"/>
  <c r="I14" i="18"/>
  <c r="D4" i="4" s="1"/>
  <c r="I12" i="18"/>
  <c r="D6" i="4" s="1"/>
  <c r="I9" i="18"/>
  <c r="G28" i="18"/>
  <c r="I26" i="20" s="1"/>
  <c r="F28" i="18"/>
  <c r="F51" i="18" s="1"/>
  <c r="H26" i="4" s="1"/>
  <c r="E28" i="18"/>
  <c r="E51" i="18" s="1"/>
  <c r="G26" i="4" s="1"/>
  <c r="D28" i="18"/>
  <c r="D51" i="18" s="1"/>
  <c r="F26" i="4" s="1"/>
  <c r="C28" i="18"/>
  <c r="C51" i="18" s="1"/>
  <c r="E26" i="4" s="1"/>
  <c r="B28" i="18"/>
  <c r="B51" i="18" s="1"/>
  <c r="D26" i="4" s="1"/>
  <c r="J18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J33" i="20"/>
  <c r="I33" i="20"/>
  <c r="H33" i="20"/>
  <c r="G33" i="20"/>
  <c r="F33" i="20"/>
  <c r="E33" i="20"/>
  <c r="D33" i="20"/>
  <c r="O15" i="20"/>
  <c r="N15" i="20"/>
  <c r="M15" i="20"/>
  <c r="K15" i="20"/>
  <c r="J15" i="20"/>
  <c r="I15" i="20"/>
  <c r="H15" i="20"/>
  <c r="G15" i="20"/>
  <c r="F15" i="20"/>
  <c r="E15" i="20"/>
  <c r="D15" i="20"/>
  <c r="Q14" i="20"/>
  <c r="O14" i="20"/>
  <c r="O27" i="20" s="1"/>
  <c r="C282" i="20" s="1"/>
  <c r="N14" i="20"/>
  <c r="N27" i="20" s="1"/>
  <c r="C281" i="20" s="1"/>
  <c r="M14" i="20"/>
  <c r="M27" i="20" s="1"/>
  <c r="C280" i="20" s="1"/>
  <c r="K14" i="20"/>
  <c r="J14" i="20"/>
  <c r="I14" i="20"/>
  <c r="I27" i="20" s="1"/>
  <c r="H14" i="20"/>
  <c r="G14" i="20"/>
  <c r="F14" i="20"/>
  <c r="E14" i="20"/>
  <c r="E27" i="20" s="1"/>
  <c r="O13" i="20"/>
  <c r="C312" i="20" s="1"/>
  <c r="N13" i="20"/>
  <c r="C267" i="20" s="1"/>
  <c r="M13" i="20"/>
  <c r="C266" i="20" s="1"/>
  <c r="L13" i="20"/>
  <c r="C201" i="20" s="1"/>
  <c r="C2" i="20"/>
  <c r="J43" i="20" s="1"/>
  <c r="D33" i="4"/>
  <c r="K23" i="4"/>
  <c r="H15" i="4"/>
  <c r="F15" i="4"/>
  <c r="D15" i="4"/>
  <c r="G15" i="4"/>
  <c r="M13" i="4"/>
  <c r="C266" i="4" s="1"/>
  <c r="N13" i="4"/>
  <c r="C267" i="4" s="1"/>
  <c r="O13" i="4"/>
  <c r="C268" i="4" s="1"/>
  <c r="M14" i="4"/>
  <c r="M30" i="4" s="1"/>
  <c r="N14" i="4"/>
  <c r="N27" i="4" s="1"/>
  <c r="C281" i="4" s="1"/>
  <c r="O14" i="4"/>
  <c r="O29" i="4" s="1"/>
  <c r="M15" i="4"/>
  <c r="N15" i="4"/>
  <c r="O15" i="4"/>
  <c r="C119" i="18"/>
  <c r="M19" i="4" s="1"/>
  <c r="D119" i="18"/>
  <c r="N19" i="4" s="1"/>
  <c r="E119" i="18"/>
  <c r="B119" i="18"/>
  <c r="L19" i="4" s="1"/>
  <c r="L14" i="4"/>
  <c r="L13" i="4"/>
  <c r="C309" i="4" s="1"/>
  <c r="K18" i="4"/>
  <c r="K15" i="4"/>
  <c r="K14" i="4"/>
  <c r="Q14" i="4"/>
  <c r="J15" i="4"/>
  <c r="J14" i="4"/>
  <c r="E14" i="4"/>
  <c r="E27" i="4" s="1"/>
  <c r="F14" i="4"/>
  <c r="G14" i="4"/>
  <c r="H14" i="4"/>
  <c r="I14" i="4"/>
  <c r="I27" i="4" s="1"/>
  <c r="E15" i="4"/>
  <c r="I15" i="4"/>
  <c r="C2" i="4"/>
  <c r="D2" i="4" s="1"/>
  <c r="H14" i="18"/>
  <c r="D4" i="20" s="1"/>
  <c r="H13" i="18"/>
  <c r="D10" i="4" s="1"/>
  <c r="H12" i="18"/>
  <c r="D6" i="20" s="1"/>
  <c r="H9" i="18"/>
  <c r="L14" i="20"/>
  <c r="E42" i="4"/>
  <c r="F42" i="4"/>
  <c r="G42" i="4"/>
  <c r="H42" i="4"/>
  <c r="I42" i="4"/>
  <c r="J42" i="4"/>
  <c r="K42" i="4"/>
  <c r="L42" i="4"/>
  <c r="M42" i="4"/>
  <c r="N42" i="4"/>
  <c r="O42" i="4"/>
  <c r="D42" i="4"/>
  <c r="E41" i="4"/>
  <c r="G41" i="4"/>
  <c r="I41" i="4"/>
  <c r="K41" i="4"/>
  <c r="M41" i="4"/>
  <c r="O41" i="4"/>
  <c r="E33" i="4"/>
  <c r="F33" i="4"/>
  <c r="G33" i="4"/>
  <c r="H33" i="4"/>
  <c r="I33" i="4"/>
  <c r="J33" i="4"/>
  <c r="D41" i="4"/>
  <c r="N41" i="4"/>
  <c r="L41" i="4"/>
  <c r="J41" i="4"/>
  <c r="H41" i="4"/>
  <c r="F41" i="4"/>
  <c r="N16" i="20"/>
  <c r="L15" i="4"/>
  <c r="L15" i="20"/>
  <c r="N19" i="20"/>
  <c r="D106" i="18"/>
  <c r="N16" i="4" s="1"/>
  <c r="E30" i="20"/>
  <c r="E29" i="20"/>
  <c r="I30" i="20"/>
  <c r="I29" i="20"/>
  <c r="N30" i="20"/>
  <c r="N29" i="20"/>
  <c r="N29" i="4"/>
  <c r="N30" i="4"/>
  <c r="C196" i="18" l="1"/>
  <c r="C204" i="18"/>
  <c r="C202" i="20"/>
  <c r="C251" i="20"/>
  <c r="C268" i="20"/>
  <c r="C202" i="4"/>
  <c r="C234" i="4"/>
  <c r="C297" i="4"/>
  <c r="C218" i="4"/>
  <c r="C250" i="4"/>
  <c r="C311" i="4"/>
  <c r="C203" i="20"/>
  <c r="C217" i="20"/>
  <c r="C234" i="20"/>
  <c r="C248" i="20"/>
  <c r="C265" i="20"/>
  <c r="C295" i="20"/>
  <c r="C310" i="20"/>
  <c r="C203" i="4"/>
  <c r="C235" i="4"/>
  <c r="C204" i="20"/>
  <c r="C249" i="20"/>
  <c r="C297" i="20"/>
  <c r="C311" i="20"/>
  <c r="C204" i="4"/>
  <c r="C236" i="4"/>
  <c r="C216" i="4"/>
  <c r="C248" i="4"/>
  <c r="C219" i="20"/>
  <c r="C236" i="20"/>
  <c r="C250" i="20"/>
  <c r="C298" i="20"/>
  <c r="L27" i="20"/>
  <c r="C279" i="20" s="1"/>
  <c r="D111" i="18"/>
  <c r="D112" i="18" s="1"/>
  <c r="D234" i="18" s="1"/>
  <c r="C111" i="18"/>
  <c r="C112" i="18" s="1"/>
  <c r="C234" i="18" s="1"/>
  <c r="E111" i="18"/>
  <c r="E112" i="18" s="1"/>
  <c r="E234" i="18" s="1"/>
  <c r="B111" i="18"/>
  <c r="B112" i="18" s="1"/>
  <c r="B234" i="18" s="1"/>
  <c r="B236" i="18" s="1"/>
  <c r="D40" i="18"/>
  <c r="D41" i="18" s="1"/>
  <c r="D226" i="18" s="1"/>
  <c r="D228" i="18" s="1"/>
  <c r="D77" i="18"/>
  <c r="D78" i="18" s="1"/>
  <c r="D230" i="18" s="1"/>
  <c r="E40" i="18"/>
  <c r="E41" i="18" s="1"/>
  <c r="E226" i="18" s="1"/>
  <c r="E228" i="18" s="1"/>
  <c r="B77" i="18"/>
  <c r="B78" i="18" s="1"/>
  <c r="B230" i="18" s="1"/>
  <c r="B232" i="18" s="1"/>
  <c r="G40" i="18"/>
  <c r="G41" i="18" s="1"/>
  <c r="G226" i="18" s="1"/>
  <c r="G228" i="18" s="1"/>
  <c r="C77" i="18"/>
  <c r="C78" i="18" s="1"/>
  <c r="C230" i="18" s="1"/>
  <c r="C232" i="18" s="1"/>
  <c r="F40" i="18"/>
  <c r="F41" i="18" s="1"/>
  <c r="F226" i="18" s="1"/>
  <c r="F228" i="18" s="1"/>
  <c r="C40" i="18"/>
  <c r="C41" i="18" s="1"/>
  <c r="C226" i="18" s="1"/>
  <c r="C228" i="18" s="1"/>
  <c r="E34" i="18"/>
  <c r="E35" i="18" s="1"/>
  <c r="G16" i="4" s="1"/>
  <c r="G30" i="4" s="1"/>
  <c r="B34" i="18"/>
  <c r="D105" i="18"/>
  <c r="C105" i="18"/>
  <c r="E105" i="18"/>
  <c r="D71" i="18"/>
  <c r="C71" i="18"/>
  <c r="B71" i="18"/>
  <c r="B72" i="18" s="1"/>
  <c r="J16" i="4" s="1"/>
  <c r="J27" i="4" s="1"/>
  <c r="G35" i="18"/>
  <c r="I16" i="4" s="1"/>
  <c r="E17" i="20"/>
  <c r="D5" i="20"/>
  <c r="G34" i="18"/>
  <c r="C34" i="18"/>
  <c r="C35" i="18"/>
  <c r="E16" i="4" s="1"/>
  <c r="B106" i="18"/>
  <c r="L16" i="4" s="1"/>
  <c r="B40" i="18"/>
  <c r="B41" i="18" s="1"/>
  <c r="B226" i="18" s="1"/>
  <c r="M30" i="20"/>
  <c r="M29" i="20"/>
  <c r="O27" i="4"/>
  <c r="C282" i="4" s="1"/>
  <c r="M19" i="20"/>
  <c r="F196" i="18"/>
  <c r="E196" i="18"/>
  <c r="D196" i="18" s="1"/>
  <c r="G196" i="18" s="1"/>
  <c r="E204" i="18"/>
  <c r="D204" i="18" s="1"/>
  <c r="G204" i="18" s="1"/>
  <c r="E30" i="4"/>
  <c r="F204" i="18"/>
  <c r="E29" i="4"/>
  <c r="D5" i="4"/>
  <c r="O30" i="4"/>
  <c r="O28" i="4" s="1"/>
  <c r="I29" i="4"/>
  <c r="I30" i="4"/>
  <c r="N28" i="4"/>
  <c r="N48" i="20"/>
  <c r="M44" i="20"/>
  <c r="N44" i="4"/>
  <c r="O49" i="20"/>
  <c r="G46" i="20"/>
  <c r="K43" i="20"/>
  <c r="E40" i="4"/>
  <c r="N47" i="4"/>
  <c r="H53" i="20"/>
  <c r="K44" i="4"/>
  <c r="I44" i="20"/>
  <c r="D45" i="20"/>
  <c r="F44" i="4"/>
  <c r="H39" i="4"/>
  <c r="E39" i="20"/>
  <c r="H44" i="20"/>
  <c r="G45" i="4"/>
  <c r="D40" i="4"/>
  <c r="K52" i="4"/>
  <c r="M43" i="20"/>
  <c r="J39" i="20"/>
  <c r="K50" i="20"/>
  <c r="K48" i="20"/>
  <c r="F39" i="20"/>
  <c r="H47" i="20"/>
  <c r="N51" i="20"/>
  <c r="I39" i="4"/>
  <c r="K40" i="20"/>
  <c r="I51" i="20"/>
  <c r="F45" i="20"/>
  <c r="J49" i="4"/>
  <c r="I43" i="20"/>
  <c r="J45" i="4"/>
  <c r="M52" i="20"/>
  <c r="L52" i="20"/>
  <c r="D47" i="4"/>
  <c r="J44" i="4"/>
  <c r="K50" i="4"/>
  <c r="H50" i="20"/>
  <c r="J50" i="4"/>
  <c r="M49" i="20"/>
  <c r="D49" i="20"/>
  <c r="K40" i="4"/>
  <c r="M52" i="4"/>
  <c r="M48" i="20"/>
  <c r="H48" i="20"/>
  <c r="L44" i="4"/>
  <c r="F51" i="4"/>
  <c r="J47" i="4"/>
  <c r="L43" i="4"/>
  <c r="G53" i="20"/>
  <c r="G49" i="20"/>
  <c r="O47" i="20"/>
  <c r="K53" i="20"/>
  <c r="L46" i="20"/>
  <c r="F51" i="20"/>
  <c r="D52" i="4"/>
  <c r="D45" i="4"/>
  <c r="J39" i="4"/>
  <c r="O53" i="4"/>
  <c r="F49" i="4"/>
  <c r="H44" i="4"/>
  <c r="J44" i="20"/>
  <c r="I48" i="20"/>
  <c r="O53" i="20"/>
  <c r="E53" i="20"/>
  <c r="J48" i="4"/>
  <c r="G40" i="20"/>
  <c r="F48" i="20"/>
  <c r="J40" i="4"/>
  <c r="I53" i="4"/>
  <c r="O51" i="4"/>
  <c r="N44" i="20"/>
  <c r="F43" i="4"/>
  <c r="H50" i="4"/>
  <c r="L50" i="4"/>
  <c r="O48" i="20"/>
  <c r="M53" i="20"/>
  <c r="H46" i="20"/>
  <c r="F52" i="20"/>
  <c r="I44" i="4"/>
  <c r="F48" i="4"/>
  <c r="K53" i="4"/>
  <c r="O52" i="4"/>
  <c r="G39" i="20"/>
  <c r="K52" i="20"/>
  <c r="L45" i="20"/>
  <c r="J51" i="20"/>
  <c r="E43" i="4"/>
  <c r="K45" i="4"/>
  <c r="F40" i="4"/>
  <c r="H47" i="4"/>
  <c r="L48" i="4"/>
  <c r="O49" i="4"/>
  <c r="K45" i="20"/>
  <c r="M50" i="20"/>
  <c r="N40" i="20"/>
  <c r="M46" i="20"/>
  <c r="E43" i="20"/>
  <c r="K46" i="20"/>
  <c r="K49" i="20"/>
  <c r="G52" i="20"/>
  <c r="N39" i="20"/>
  <c r="H45" i="20"/>
  <c r="D48" i="20"/>
  <c r="F50" i="20"/>
  <c r="J52" i="20"/>
  <c r="H40" i="4"/>
  <c r="K39" i="4"/>
  <c r="I39" i="20"/>
  <c r="O43" i="20"/>
  <c r="M47" i="20"/>
  <c r="E52" i="20"/>
  <c r="L40" i="20"/>
  <c r="N45" i="20"/>
  <c r="J49" i="20"/>
  <c r="D53" i="20"/>
  <c r="D48" i="4"/>
  <c r="O40" i="20"/>
  <c r="I49" i="4"/>
  <c r="H52" i="4"/>
  <c r="F47" i="20"/>
  <c r="E44" i="20"/>
  <c r="E44" i="4"/>
  <c r="J45" i="20"/>
  <c r="H51" i="4"/>
  <c r="D40" i="20"/>
  <c r="F39" i="4"/>
  <c r="K49" i="4"/>
  <c r="M51" i="20"/>
  <c r="N50" i="20"/>
  <c r="E52" i="4"/>
  <c r="N51" i="4"/>
  <c r="E51" i="20"/>
  <c r="N49" i="20"/>
  <c r="H45" i="4"/>
  <c r="G50" i="4"/>
  <c r="N50" i="4"/>
  <c r="I49" i="20"/>
  <c r="G45" i="20"/>
  <c r="O45" i="20"/>
  <c r="K51" i="20"/>
  <c r="L44" i="20"/>
  <c r="L49" i="20"/>
  <c r="O45" i="4"/>
  <c r="N53" i="20"/>
  <c r="E47" i="20"/>
  <c r="L39" i="20"/>
  <c r="J48" i="20"/>
  <c r="L51" i="20"/>
  <c r="E50" i="4"/>
  <c r="K47" i="4"/>
  <c r="D50" i="20"/>
  <c r="M39" i="20"/>
  <c r="D52" i="20"/>
  <c r="J40" i="20"/>
  <c r="G52" i="4"/>
  <c r="G51" i="20"/>
  <c r="F46" i="4"/>
  <c r="D50" i="4"/>
  <c r="G50" i="20"/>
  <c r="L43" i="20"/>
  <c r="L45" i="4"/>
  <c r="H48" i="4"/>
  <c r="I40" i="20"/>
  <c r="D43" i="20"/>
  <c r="O43" i="4"/>
  <c r="L46" i="4"/>
  <c r="M53" i="4"/>
  <c r="G48" i="20"/>
  <c r="G43" i="20"/>
  <c r="E45" i="20"/>
  <c r="O50" i="20"/>
  <c r="D44" i="20"/>
  <c r="F49" i="20"/>
  <c r="N43" i="4"/>
  <c r="G39" i="4"/>
  <c r="O40" i="4"/>
  <c r="I46" i="20"/>
  <c r="I50" i="20"/>
  <c r="D39" i="20"/>
  <c r="N43" i="20"/>
  <c r="N47" i="20"/>
  <c r="D51" i="20"/>
  <c r="O46" i="4"/>
  <c r="D2" i="20"/>
  <c r="E46" i="4"/>
  <c r="M49" i="4"/>
  <c r="N49" i="4"/>
  <c r="M40" i="4"/>
  <c r="H52" i="20"/>
  <c r="H40" i="20"/>
  <c r="M45" i="20"/>
  <c r="N46" i="20"/>
  <c r="F46" i="20"/>
  <c r="L47" i="4"/>
  <c r="I52" i="20"/>
  <c r="H51" i="20"/>
  <c r="F47" i="4"/>
  <c r="J51" i="4"/>
  <c r="K44" i="20"/>
  <c r="J47" i="20"/>
  <c r="H46" i="4"/>
  <c r="I52" i="4"/>
  <c r="O48" i="4"/>
  <c r="K47" i="20"/>
  <c r="I47" i="20"/>
  <c r="F40" i="20"/>
  <c r="L47" i="20"/>
  <c r="J53" i="20"/>
  <c r="M46" i="4"/>
  <c r="G49" i="4"/>
  <c r="L51" i="4"/>
  <c r="D53" i="4"/>
  <c r="E46" i="20"/>
  <c r="H39" i="20"/>
  <c r="D47" i="20"/>
  <c r="N52" i="20"/>
  <c r="G46" i="4"/>
  <c r="I45" i="4"/>
  <c r="E49" i="4"/>
  <c r="I50" i="4"/>
  <c r="L39" i="4"/>
  <c r="O39" i="4"/>
  <c r="O46" i="20"/>
  <c r="O51" i="20"/>
  <c r="O39" i="20"/>
  <c r="E48" i="20"/>
  <c r="G44" i="20"/>
  <c r="G47" i="20"/>
  <c r="E50" i="20"/>
  <c r="O52" i="20"/>
  <c r="H43" i="20"/>
  <c r="D46" i="20"/>
  <c r="L48" i="20"/>
  <c r="L50" i="20"/>
  <c r="F53" i="20"/>
  <c r="E39" i="4"/>
  <c r="M39" i="4"/>
  <c r="K39" i="20"/>
  <c r="O44" i="20"/>
  <c r="E49" i="20"/>
  <c r="I53" i="20"/>
  <c r="F43" i="20"/>
  <c r="J46" i="20"/>
  <c r="J50" i="20"/>
  <c r="L53" i="20"/>
  <c r="E40" i="20"/>
  <c r="I45" i="20"/>
  <c r="K27" i="20"/>
  <c r="M27" i="4"/>
  <c r="C280" i="4" s="1"/>
  <c r="M29" i="4"/>
  <c r="M28" i="4" s="1"/>
  <c r="O30" i="20"/>
  <c r="O29" i="20"/>
  <c r="O16" i="20"/>
  <c r="D35" i="18"/>
  <c r="F16" i="4" s="1"/>
  <c r="F30" i="4" s="1"/>
  <c r="K43" i="4"/>
  <c r="M40" i="20"/>
  <c r="I28" i="20"/>
  <c r="E236" i="18"/>
  <c r="D236" i="18"/>
  <c r="D44" i="4"/>
  <c r="M43" i="4"/>
  <c r="I46" i="4"/>
  <c r="E48" i="4"/>
  <c r="G48" i="4"/>
  <c r="I48" i="4"/>
  <c r="K48" i="4"/>
  <c r="M48" i="4"/>
  <c r="O47" i="4"/>
  <c r="M44" i="4"/>
  <c r="F52" i="4"/>
  <c r="M47" i="4"/>
  <c r="J17" i="20"/>
  <c r="J29" i="20" s="1"/>
  <c r="D43" i="4"/>
  <c r="F45" i="4"/>
  <c r="N45" i="4"/>
  <c r="N46" i="4"/>
  <c r="F53" i="4"/>
  <c r="H53" i="4"/>
  <c r="J53" i="4"/>
  <c r="L53" i="4"/>
  <c r="N53" i="4"/>
  <c r="L40" i="4"/>
  <c r="J46" i="4"/>
  <c r="J52" i="4"/>
  <c r="D51" i="4"/>
  <c r="G44" i="4"/>
  <c r="E45" i="4"/>
  <c r="I40" i="4"/>
  <c r="E51" i="4"/>
  <c r="G51" i="4"/>
  <c r="I51" i="4"/>
  <c r="K51" i="4"/>
  <c r="M51" i="4"/>
  <c r="D49" i="4"/>
  <c r="M45" i="4"/>
  <c r="G47" i="4"/>
  <c r="N52" i="4"/>
  <c r="C106" i="18"/>
  <c r="M16" i="4" s="1"/>
  <c r="N28" i="20"/>
  <c r="E28" i="20"/>
  <c r="G43" i="4"/>
  <c r="I43" i="4"/>
  <c r="K46" i="4"/>
  <c r="E47" i="4"/>
  <c r="I47" i="4"/>
  <c r="L52" i="4"/>
  <c r="O50" i="4"/>
  <c r="F50" i="4"/>
  <c r="J43" i="4"/>
  <c r="D46" i="4"/>
  <c r="N40" i="4"/>
  <c r="H49" i="4"/>
  <c r="L49" i="4"/>
  <c r="N39" i="4"/>
  <c r="D39" i="4"/>
  <c r="O44" i="4"/>
  <c r="J35" i="20"/>
  <c r="L60" i="20" s="1"/>
  <c r="K29" i="20"/>
  <c r="D72" i="18"/>
  <c r="K16" i="4" s="1"/>
  <c r="K30" i="20"/>
  <c r="C72" i="18"/>
  <c r="Q16" i="4" s="1"/>
  <c r="Q27" i="4" s="1"/>
  <c r="Q28" i="4" s="1"/>
  <c r="M50" i="4"/>
  <c r="G53" i="4"/>
  <c r="E53" i="4"/>
  <c r="F35" i="18"/>
  <c r="H16" i="4" s="1"/>
  <c r="H30" i="4" s="1"/>
  <c r="J36" i="20"/>
  <c r="H67" i="20" s="1"/>
  <c r="B47" i="18"/>
  <c r="B227" i="18" s="1"/>
  <c r="D14" i="4"/>
  <c r="D35" i="4" s="1"/>
  <c r="H61" i="4" s="1"/>
  <c r="D7" i="4"/>
  <c r="D3" i="4"/>
  <c r="O75" i="4" s="1"/>
  <c r="D7" i="20"/>
  <c r="P32" i="20" s="1"/>
  <c r="F44" i="20"/>
  <c r="H49" i="20"/>
  <c r="C236" i="18"/>
  <c r="D232" i="18"/>
  <c r="E18" i="20"/>
  <c r="E35" i="20" s="1"/>
  <c r="M62" i="20" s="1"/>
  <c r="G205" i="18"/>
  <c r="D10" i="20"/>
  <c r="K74" i="20" s="1"/>
  <c r="K80" i="20" s="1"/>
  <c r="J35" i="4"/>
  <c r="E60" i="4" s="1"/>
  <c r="J29" i="4"/>
  <c r="E188" i="18"/>
  <c r="E176" i="18"/>
  <c r="E175" i="18"/>
  <c r="Q27" i="20"/>
  <c r="Q28" i="20" s="1"/>
  <c r="H29" i="20"/>
  <c r="D114" i="18"/>
  <c r="N17" i="4" s="1"/>
  <c r="D29" i="20"/>
  <c r="F35" i="20"/>
  <c r="M63" i="20" s="1"/>
  <c r="B49" i="18"/>
  <c r="D23" i="4" s="1"/>
  <c r="D34" i="4" s="1"/>
  <c r="C114" i="18"/>
  <c r="M17" i="4" s="1"/>
  <c r="F29" i="20"/>
  <c r="E35" i="4"/>
  <c r="K62" i="4" s="1"/>
  <c r="I35" i="20"/>
  <c r="O66" i="20" s="1"/>
  <c r="B114" i="18"/>
  <c r="L17" i="4" s="1"/>
  <c r="L29" i="4" s="1"/>
  <c r="H35" i="4"/>
  <c r="E65" i="4" s="1"/>
  <c r="E189" i="18"/>
  <c r="B88" i="18"/>
  <c r="J26" i="4" s="1"/>
  <c r="B86" i="18"/>
  <c r="J23" i="4" s="1"/>
  <c r="J34" i="4" s="1"/>
  <c r="G49" i="18"/>
  <c r="I23" i="4" s="1"/>
  <c r="I34" i="4" s="1"/>
  <c r="F49" i="18"/>
  <c r="H23" i="4" s="1"/>
  <c r="H34" i="4" s="1"/>
  <c r="D49" i="18"/>
  <c r="F23" i="4" s="1"/>
  <c r="F34" i="4" s="1"/>
  <c r="C49" i="18"/>
  <c r="E23" i="4" s="1"/>
  <c r="E34" i="4" s="1"/>
  <c r="N48" i="4"/>
  <c r="G40" i="4"/>
  <c r="H43" i="4"/>
  <c r="E114" i="18"/>
  <c r="O17" i="4" s="1"/>
  <c r="L19" i="20"/>
  <c r="L29" i="20" s="1"/>
  <c r="D88" i="18"/>
  <c r="K26" i="4" s="1"/>
  <c r="D80" i="18"/>
  <c r="K17" i="4" s="1"/>
  <c r="J30" i="20"/>
  <c r="E49" i="18"/>
  <c r="G23" i="4" s="1"/>
  <c r="G34" i="4" s="1"/>
  <c r="E26" i="20"/>
  <c r="G26" i="20"/>
  <c r="G30" i="20" s="1"/>
  <c r="D26" i="20"/>
  <c r="D30" i="20" s="1"/>
  <c r="F26" i="20"/>
  <c r="F30" i="20" s="1"/>
  <c r="H26" i="20"/>
  <c r="H30" i="20" s="1"/>
  <c r="G18" i="20"/>
  <c r="G35" i="20" s="1"/>
  <c r="E75" i="20"/>
  <c r="L75" i="20"/>
  <c r="F75" i="20"/>
  <c r="M75" i="20"/>
  <c r="G75" i="20"/>
  <c r="N75" i="20"/>
  <c r="H75" i="20"/>
  <c r="O75" i="20"/>
  <c r="I75" i="20"/>
  <c r="E4" i="20"/>
  <c r="J75" i="20"/>
  <c r="D75" i="20"/>
  <c r="K75" i="20"/>
  <c r="E4" i="4"/>
  <c r="B43" i="18"/>
  <c r="D17" i="4" s="1"/>
  <c r="F43" i="18"/>
  <c r="H17" i="4" s="1"/>
  <c r="H29" i="4" s="1"/>
  <c r="D44" i="18"/>
  <c r="F18" i="4" s="1"/>
  <c r="F35" i="4" s="1"/>
  <c r="D18" i="20"/>
  <c r="D35" i="20" s="1"/>
  <c r="G17" i="20"/>
  <c r="G29" i="20" s="1"/>
  <c r="G44" i="18"/>
  <c r="I18" i="4" s="1"/>
  <c r="I35" i="4" s="1"/>
  <c r="H18" i="20"/>
  <c r="H35" i="20" s="1"/>
  <c r="L65" i="20" s="1"/>
  <c r="D43" i="18"/>
  <c r="F17" i="4" s="1"/>
  <c r="F29" i="4" s="1"/>
  <c r="G43" i="18"/>
  <c r="I17" i="4" s="1"/>
  <c r="G51" i="18"/>
  <c r="I26" i="4" s="1"/>
  <c r="H27" i="20"/>
  <c r="D27" i="20"/>
  <c r="F27" i="20"/>
  <c r="I36" i="20"/>
  <c r="F36" i="20"/>
  <c r="B35" i="18"/>
  <c r="D16" i="4" s="1"/>
  <c r="G29" i="4"/>
  <c r="G35" i="4"/>
  <c r="N66" i="20" l="1"/>
  <c r="N87" i="20" s="1"/>
  <c r="E36" i="4"/>
  <c r="O69" i="4" s="1"/>
  <c r="O91" i="4" s="1"/>
  <c r="L86" i="20"/>
  <c r="K83" i="4"/>
  <c r="M83" i="20"/>
  <c r="H89" i="20"/>
  <c r="O87" i="20"/>
  <c r="L81" i="20"/>
  <c r="E74" i="4"/>
  <c r="E80" i="4" s="1"/>
  <c r="N74" i="4"/>
  <c r="N80" i="4" s="1"/>
  <c r="Q239" i="4"/>
  <c r="Q207" i="4"/>
  <c r="L75" i="4"/>
  <c r="H75" i="4"/>
  <c r="I74" i="4"/>
  <c r="I80" i="4" s="1"/>
  <c r="H74" i="4"/>
  <c r="H80" i="4" s="1"/>
  <c r="N75" i="4"/>
  <c r="O74" i="4"/>
  <c r="O80" i="4" s="1"/>
  <c r="D75" i="4"/>
  <c r="K74" i="4"/>
  <c r="K80" i="4" s="1"/>
  <c r="J75" i="4"/>
  <c r="G75" i="4"/>
  <c r="L27" i="4"/>
  <c r="C279" i="4" s="1"/>
  <c r="L30" i="4"/>
  <c r="L28" i="4" s="1"/>
  <c r="L30" i="20"/>
  <c r="I60" i="20"/>
  <c r="I81" i="20" s="1"/>
  <c r="D60" i="20"/>
  <c r="D81" i="20" s="1"/>
  <c r="J60" i="20"/>
  <c r="J81" i="20" s="1"/>
  <c r="E28" i="4"/>
  <c r="I28" i="4"/>
  <c r="J55" i="4"/>
  <c r="M28" i="20"/>
  <c r="E36" i="20"/>
  <c r="K69" i="20" s="1"/>
  <c r="K91" i="20" s="1"/>
  <c r="L28" i="20"/>
  <c r="K65" i="4"/>
  <c r="K86" i="4" s="1"/>
  <c r="E81" i="4"/>
  <c r="J28" i="20"/>
  <c r="S28" i="20" s="1"/>
  <c r="J27" i="20"/>
  <c r="E86" i="4"/>
  <c r="H82" i="4"/>
  <c r="M84" i="20"/>
  <c r="E55" i="20"/>
  <c r="O28" i="20"/>
  <c r="K67" i="20"/>
  <c r="K89" i="20" s="1"/>
  <c r="N62" i="4"/>
  <c r="N83" i="4" s="1"/>
  <c r="L62" i="4"/>
  <c r="L83" i="4" s="1"/>
  <c r="H62" i="4"/>
  <c r="H83" i="4" s="1"/>
  <c r="P32" i="4"/>
  <c r="O59" i="4" s="1"/>
  <c r="J62" i="4"/>
  <c r="J83" i="4" s="1"/>
  <c r="M62" i="4"/>
  <c r="M83" i="4" s="1"/>
  <c r="O62" i="4"/>
  <c r="O83" i="4" s="1"/>
  <c r="P31" i="4"/>
  <c r="G58" i="4" s="1"/>
  <c r="K28" i="20"/>
  <c r="T28" i="20" s="1"/>
  <c r="B228" i="18"/>
  <c r="B238" i="18" s="1"/>
  <c r="B239" i="18" s="1"/>
  <c r="F61" i="4"/>
  <c r="F82" i="4" s="1"/>
  <c r="L74" i="4"/>
  <c r="L80" i="4" s="1"/>
  <c r="J65" i="4"/>
  <c r="J86" i="4" s="1"/>
  <c r="I62" i="4"/>
  <c r="I83" i="4" s="1"/>
  <c r="D62" i="4"/>
  <c r="D83" i="4" s="1"/>
  <c r="F62" i="4"/>
  <c r="F83" i="4" s="1"/>
  <c r="O60" i="20"/>
  <c r="O81" i="20" s="1"/>
  <c r="K60" i="20"/>
  <c r="K81" i="20" s="1"/>
  <c r="E60" i="20"/>
  <c r="E81" i="20" s="1"/>
  <c r="H60" i="20"/>
  <c r="H81" i="20" s="1"/>
  <c r="L65" i="4"/>
  <c r="L86" i="4" s="1"/>
  <c r="L61" i="4"/>
  <c r="L82" i="4" s="1"/>
  <c r="F75" i="4"/>
  <c r="M75" i="4"/>
  <c r="K75" i="4"/>
  <c r="M74" i="4"/>
  <c r="M80" i="4" s="1"/>
  <c r="J74" i="4"/>
  <c r="J80" i="4" s="1"/>
  <c r="G27" i="4"/>
  <c r="F28" i="20"/>
  <c r="I75" i="4"/>
  <c r="E75" i="4"/>
  <c r="F74" i="4"/>
  <c r="F80" i="4" s="1"/>
  <c r="D74" i="4"/>
  <c r="D80" i="4" s="1"/>
  <c r="G74" i="4"/>
  <c r="G80" i="4" s="1"/>
  <c r="E62" i="4"/>
  <c r="E83" i="4" s="1"/>
  <c r="G62" i="4"/>
  <c r="G83" i="4" s="1"/>
  <c r="F60" i="20"/>
  <c r="F81" i="20" s="1"/>
  <c r="N60" i="20"/>
  <c r="N81" i="20" s="1"/>
  <c r="M60" i="20"/>
  <c r="M81" i="20" s="1"/>
  <c r="G60" i="20"/>
  <c r="G81" i="20" s="1"/>
  <c r="K30" i="4"/>
  <c r="K27" i="4"/>
  <c r="K29" i="4"/>
  <c r="H60" i="4"/>
  <c r="H81" i="4" s="1"/>
  <c r="L60" i="4"/>
  <c r="L81" i="4" s="1"/>
  <c r="H28" i="20"/>
  <c r="P29" i="20"/>
  <c r="E59" i="20"/>
  <c r="N59" i="20"/>
  <c r="I59" i="20"/>
  <c r="H59" i="20"/>
  <c r="O59" i="20"/>
  <c r="D59" i="20"/>
  <c r="M59" i="20"/>
  <c r="J59" i="20"/>
  <c r="L59" i="20"/>
  <c r="K59" i="20"/>
  <c r="F59" i="20"/>
  <c r="G59" i="20"/>
  <c r="N61" i="4"/>
  <c r="N82" i="4" s="1"/>
  <c r="D63" i="20"/>
  <c r="D84" i="20" s="1"/>
  <c r="P31" i="20"/>
  <c r="D29" i="4"/>
  <c r="F63" i="20"/>
  <c r="F84" i="20" s="1"/>
  <c r="J30" i="4"/>
  <c r="J28" i="4" s="1"/>
  <c r="S28" i="4" s="1"/>
  <c r="K55" i="20"/>
  <c r="E55" i="4"/>
  <c r="F57" i="4"/>
  <c r="I57" i="4"/>
  <c r="H57" i="4"/>
  <c r="L57" i="20"/>
  <c r="K57" i="4"/>
  <c r="H57" i="20"/>
  <c r="F55" i="20"/>
  <c r="L57" i="4"/>
  <c r="K55" i="4"/>
  <c r="M57" i="4"/>
  <c r="D57" i="4"/>
  <c r="O57" i="4"/>
  <c r="E57" i="4"/>
  <c r="L55" i="20"/>
  <c r="L55" i="4"/>
  <c r="I55" i="4"/>
  <c r="D55" i="4"/>
  <c r="O55" i="4"/>
  <c r="M55" i="4"/>
  <c r="N57" i="4"/>
  <c r="E57" i="20"/>
  <c r="F55" i="4"/>
  <c r="J57" i="4"/>
  <c r="H55" i="4"/>
  <c r="N55" i="4"/>
  <c r="G57" i="4"/>
  <c r="E63" i="20"/>
  <c r="E84" i="20" s="1"/>
  <c r="K63" i="20"/>
  <c r="K84" i="20" s="1"/>
  <c r="J63" i="20"/>
  <c r="J84" i="20" s="1"/>
  <c r="H36" i="4"/>
  <c r="O72" i="4" s="1"/>
  <c r="O94" i="4" s="1"/>
  <c r="G36" i="4"/>
  <c r="J71" i="4" s="1"/>
  <c r="J93" i="4" s="1"/>
  <c r="E61" i="4"/>
  <c r="E82" i="4" s="1"/>
  <c r="J61" i="4"/>
  <c r="J82" i="4" s="1"/>
  <c r="M61" i="4"/>
  <c r="M82" i="4" s="1"/>
  <c r="G61" i="4"/>
  <c r="G82" i="4" s="1"/>
  <c r="K61" i="4"/>
  <c r="K82" i="4" s="1"/>
  <c r="I61" i="4"/>
  <c r="I82" i="4" s="1"/>
  <c r="O61" i="4"/>
  <c r="O82" i="4" s="1"/>
  <c r="D61" i="4"/>
  <c r="D82" i="4" s="1"/>
  <c r="J60" i="4"/>
  <c r="J81" i="4" s="1"/>
  <c r="I63" i="20"/>
  <c r="I84" i="20" s="1"/>
  <c r="J36" i="4"/>
  <c r="O67" i="4" s="1"/>
  <c r="O89" i="4" s="1"/>
  <c r="I65" i="4"/>
  <c r="I86" i="4" s="1"/>
  <c r="D65" i="4"/>
  <c r="D86" i="4" s="1"/>
  <c r="G65" i="4"/>
  <c r="G86" i="4" s="1"/>
  <c r="F65" i="4"/>
  <c r="F86" i="4" s="1"/>
  <c r="N65" i="4"/>
  <c r="N86" i="4" s="1"/>
  <c r="M65" i="4"/>
  <c r="M86" i="4" s="1"/>
  <c r="H65" i="4"/>
  <c r="H86" i="4" s="1"/>
  <c r="O65" i="4"/>
  <c r="O86" i="4" s="1"/>
  <c r="D36" i="20"/>
  <c r="N68" i="20" s="1"/>
  <c r="N90" i="20" s="1"/>
  <c r="H28" i="4"/>
  <c r="D36" i="4"/>
  <c r="G68" i="4" s="1"/>
  <c r="G90" i="4" s="1"/>
  <c r="D67" i="20"/>
  <c r="D89" i="20" s="1"/>
  <c r="F67" i="20"/>
  <c r="F89" i="20" s="1"/>
  <c r="E66" i="20"/>
  <c r="E87" i="20" s="1"/>
  <c r="M66" i="20"/>
  <c r="M87" i="20" s="1"/>
  <c r="I62" i="20"/>
  <c r="I83" i="20" s="1"/>
  <c r="D62" i="20"/>
  <c r="D83" i="20" s="1"/>
  <c r="N62" i="20"/>
  <c r="N83" i="20" s="1"/>
  <c r="L66" i="20"/>
  <c r="L87" i="20" s="1"/>
  <c r="H66" i="20"/>
  <c r="H87" i="20" s="1"/>
  <c r="J66" i="20"/>
  <c r="J87" i="20" s="1"/>
  <c r="N60" i="4"/>
  <c r="N81" i="4" s="1"/>
  <c r="N67" i="20"/>
  <c r="N89" i="20" s="1"/>
  <c r="M67" i="20"/>
  <c r="M89" i="20" s="1"/>
  <c r="O67" i="20"/>
  <c r="O89" i="20" s="1"/>
  <c r="G55" i="4"/>
  <c r="O60" i="4"/>
  <c r="O81" i="4" s="1"/>
  <c r="F60" i="4"/>
  <c r="F81" i="4" s="1"/>
  <c r="I60" i="4"/>
  <c r="I81" i="4" s="1"/>
  <c r="J74" i="20"/>
  <c r="J80" i="20" s="1"/>
  <c r="D74" i="20"/>
  <c r="D80" i="20" s="1"/>
  <c r="N74" i="20"/>
  <c r="N80" i="20" s="1"/>
  <c r="G74" i="20"/>
  <c r="G80" i="20" s="1"/>
  <c r="E74" i="20"/>
  <c r="E80" i="20" s="1"/>
  <c r="O74" i="20"/>
  <c r="O80" i="20" s="1"/>
  <c r="F74" i="20"/>
  <c r="F80" i="20" s="1"/>
  <c r="M74" i="20"/>
  <c r="M80" i="20" s="1"/>
  <c r="L74" i="20"/>
  <c r="L80" i="20" s="1"/>
  <c r="H74" i="20"/>
  <c r="H80" i="20" s="1"/>
  <c r="I74" i="20"/>
  <c r="I80" i="20" s="1"/>
  <c r="F66" i="20"/>
  <c r="F87" i="20" s="1"/>
  <c r="K66" i="20"/>
  <c r="K87" i="20" s="1"/>
  <c r="D66" i="20"/>
  <c r="D87" i="20" s="1"/>
  <c r="I67" i="20"/>
  <c r="I89" i="20" s="1"/>
  <c r="L67" i="20"/>
  <c r="L89" i="20" s="1"/>
  <c r="E67" i="20"/>
  <c r="E89" i="20" s="1"/>
  <c r="G60" i="4"/>
  <c r="G81" i="4" s="1"/>
  <c r="D60" i="4"/>
  <c r="D81" i="4" s="1"/>
  <c r="H62" i="20"/>
  <c r="H83" i="20" s="1"/>
  <c r="J62" i="20"/>
  <c r="J83" i="20" s="1"/>
  <c r="K62" i="20"/>
  <c r="K83" i="20" s="1"/>
  <c r="O62" i="20"/>
  <c r="O83" i="20" s="1"/>
  <c r="F62" i="20"/>
  <c r="F83" i="20" s="1"/>
  <c r="G62" i="20"/>
  <c r="G83" i="20" s="1"/>
  <c r="E62" i="20"/>
  <c r="E83" i="20" s="1"/>
  <c r="L62" i="20"/>
  <c r="L83" i="20" s="1"/>
  <c r="G66" i="20"/>
  <c r="G87" i="20" s="1"/>
  <c r="I66" i="20"/>
  <c r="I87" i="20" s="1"/>
  <c r="G36" i="20"/>
  <c r="M71" i="20" s="1"/>
  <c r="M93" i="20" s="1"/>
  <c r="G67" i="20"/>
  <c r="G89" i="20" s="1"/>
  <c r="J67" i="20"/>
  <c r="J89" i="20" s="1"/>
  <c r="K60" i="4"/>
  <c r="K81" i="4" s="1"/>
  <c r="M60" i="4"/>
  <c r="M81" i="4" s="1"/>
  <c r="F27" i="4"/>
  <c r="N63" i="20"/>
  <c r="N84" i="20" s="1"/>
  <c r="L63" i="20"/>
  <c r="L84" i="20" s="1"/>
  <c r="G63" i="20"/>
  <c r="G84" i="20" s="1"/>
  <c r="G65" i="20"/>
  <c r="G86" i="20" s="1"/>
  <c r="H63" i="20"/>
  <c r="H84" i="20" s="1"/>
  <c r="O63" i="20"/>
  <c r="O84" i="20" s="1"/>
  <c r="I36" i="4"/>
  <c r="M73" i="4" s="1"/>
  <c r="M95" i="4" s="1"/>
  <c r="G27" i="20"/>
  <c r="E177" i="18"/>
  <c r="E190" i="18"/>
  <c r="M55" i="20"/>
  <c r="J55" i="20"/>
  <c r="M57" i="20"/>
  <c r="G57" i="20"/>
  <c r="D57" i="20"/>
  <c r="I57" i="20"/>
  <c r="H27" i="4"/>
  <c r="F57" i="20"/>
  <c r="H55" i="20"/>
  <c r="D55" i="20"/>
  <c r="O57" i="20"/>
  <c r="G55" i="20"/>
  <c r="K57" i="20"/>
  <c r="J57" i="20"/>
  <c r="O55" i="20"/>
  <c r="I55" i="20"/>
  <c r="N57" i="20"/>
  <c r="N55" i="20"/>
  <c r="D30" i="4"/>
  <c r="D65" i="20"/>
  <c r="D86" i="20" s="1"/>
  <c r="M65" i="20"/>
  <c r="M86" i="20" s="1"/>
  <c r="H64" i="20"/>
  <c r="H85" i="20" s="1"/>
  <c r="O64" i="20"/>
  <c r="O85" i="20" s="1"/>
  <c r="N64" i="20"/>
  <c r="N85" i="20" s="1"/>
  <c r="E64" i="20"/>
  <c r="E85" i="20" s="1"/>
  <c r="L64" i="20"/>
  <c r="L85" i="20" s="1"/>
  <c r="K64" i="20"/>
  <c r="K85" i="20" s="1"/>
  <c r="G64" i="20"/>
  <c r="G85" i="20" s="1"/>
  <c r="J64" i="20"/>
  <c r="J85" i="20" s="1"/>
  <c r="M64" i="20"/>
  <c r="M85" i="20" s="1"/>
  <c r="F64" i="20"/>
  <c r="F85" i="20" s="1"/>
  <c r="I64" i="20"/>
  <c r="I85" i="20" s="1"/>
  <c r="D64" i="20"/>
  <c r="D85" i="20" s="1"/>
  <c r="M63" i="4"/>
  <c r="M84" i="4" s="1"/>
  <c r="I63" i="4"/>
  <c r="I84" i="4" s="1"/>
  <c r="N63" i="4"/>
  <c r="N84" i="4" s="1"/>
  <c r="E63" i="4"/>
  <c r="E84" i="4" s="1"/>
  <c r="G63" i="4"/>
  <c r="G84" i="4" s="1"/>
  <c r="K63" i="4"/>
  <c r="K84" i="4" s="1"/>
  <c r="D63" i="4"/>
  <c r="D84" i="4" s="1"/>
  <c r="F63" i="4"/>
  <c r="F84" i="4" s="1"/>
  <c r="L63" i="4"/>
  <c r="L84" i="4" s="1"/>
  <c r="O63" i="4"/>
  <c r="O84" i="4" s="1"/>
  <c r="J63" i="4"/>
  <c r="J84" i="4" s="1"/>
  <c r="H63" i="4"/>
  <c r="H84" i="4" s="1"/>
  <c r="J61" i="20"/>
  <c r="J82" i="20" s="1"/>
  <c r="M61" i="20"/>
  <c r="M82" i="20" s="1"/>
  <c r="D61" i="20"/>
  <c r="D82" i="20" s="1"/>
  <c r="O61" i="20"/>
  <c r="O82" i="20" s="1"/>
  <c r="H61" i="20"/>
  <c r="H82" i="20" s="1"/>
  <c r="E61" i="20"/>
  <c r="E82" i="20" s="1"/>
  <c r="N61" i="20"/>
  <c r="N82" i="20" s="1"/>
  <c r="L61" i="20"/>
  <c r="L82" i="20" s="1"/>
  <c r="K61" i="20"/>
  <c r="K82" i="20" s="1"/>
  <c r="I61" i="20"/>
  <c r="I82" i="20" s="1"/>
  <c r="F61" i="20"/>
  <c r="F82" i="20" s="1"/>
  <c r="G61" i="20"/>
  <c r="G82" i="20" s="1"/>
  <c r="D27" i="4"/>
  <c r="F36" i="4"/>
  <c r="K70" i="4" s="1"/>
  <c r="K92" i="4" s="1"/>
  <c r="G28" i="20"/>
  <c r="H65" i="20"/>
  <c r="H86" i="20" s="1"/>
  <c r="J65" i="20"/>
  <c r="J86" i="20" s="1"/>
  <c r="I65" i="20"/>
  <c r="I86" i="20" s="1"/>
  <c r="O65" i="20"/>
  <c r="O86" i="20" s="1"/>
  <c r="N65" i="20"/>
  <c r="N86" i="20" s="1"/>
  <c r="E65" i="20"/>
  <c r="E86" i="20" s="1"/>
  <c r="F66" i="4"/>
  <c r="F87" i="4" s="1"/>
  <c r="H66" i="4"/>
  <c r="H87" i="4" s="1"/>
  <c r="O66" i="4"/>
  <c r="O87" i="4" s="1"/>
  <c r="E66" i="4"/>
  <c r="E87" i="4" s="1"/>
  <c r="N66" i="4"/>
  <c r="N87" i="4" s="1"/>
  <c r="G66" i="4"/>
  <c r="G87" i="4" s="1"/>
  <c r="D66" i="4"/>
  <c r="D87" i="4" s="1"/>
  <c r="K66" i="4"/>
  <c r="K87" i="4" s="1"/>
  <c r="M66" i="4"/>
  <c r="M87" i="4" s="1"/>
  <c r="I66" i="4"/>
  <c r="I87" i="4" s="1"/>
  <c r="J66" i="4"/>
  <c r="J87" i="4" s="1"/>
  <c r="L66" i="4"/>
  <c r="L87" i="4" s="1"/>
  <c r="K65" i="20"/>
  <c r="K86" i="20" s="1"/>
  <c r="F65" i="20"/>
  <c r="F86" i="20" s="1"/>
  <c r="H36" i="20"/>
  <c r="F72" i="20" s="1"/>
  <c r="F94" i="20" s="1"/>
  <c r="P30" i="20"/>
  <c r="D28" i="20"/>
  <c r="J70" i="20"/>
  <c r="J92" i="20" s="1"/>
  <c r="F70" i="20"/>
  <c r="F92" i="20" s="1"/>
  <c r="K70" i="20"/>
  <c r="K92" i="20" s="1"/>
  <c r="I70" i="20"/>
  <c r="I92" i="20" s="1"/>
  <c r="O70" i="20"/>
  <c r="O92" i="20" s="1"/>
  <c r="L70" i="20"/>
  <c r="L92" i="20" s="1"/>
  <c r="E70" i="20"/>
  <c r="E92" i="20" s="1"/>
  <c r="G70" i="20"/>
  <c r="G92" i="20" s="1"/>
  <c r="D70" i="20"/>
  <c r="D92" i="20" s="1"/>
  <c r="N70" i="20"/>
  <c r="N92" i="20" s="1"/>
  <c r="H70" i="20"/>
  <c r="H92" i="20" s="1"/>
  <c r="M70" i="20"/>
  <c r="M92" i="20" s="1"/>
  <c r="D73" i="20"/>
  <c r="D95" i="20" s="1"/>
  <c r="J73" i="20"/>
  <c r="J95" i="20" s="1"/>
  <c r="N73" i="20"/>
  <c r="N95" i="20" s="1"/>
  <c r="L73" i="20"/>
  <c r="L95" i="20" s="1"/>
  <c r="I73" i="20"/>
  <c r="I95" i="20" s="1"/>
  <c r="F73" i="20"/>
  <c r="F95" i="20" s="1"/>
  <c r="E73" i="20"/>
  <c r="E95" i="20" s="1"/>
  <c r="H73" i="20"/>
  <c r="H95" i="20" s="1"/>
  <c r="G73" i="20"/>
  <c r="G95" i="20" s="1"/>
  <c r="O73" i="20"/>
  <c r="O95" i="20" s="1"/>
  <c r="M73" i="20"/>
  <c r="M95" i="20" s="1"/>
  <c r="K73" i="20"/>
  <c r="K95" i="20" s="1"/>
  <c r="F28" i="4"/>
  <c r="G28" i="4"/>
  <c r="H64" i="4"/>
  <c r="H85" i="4" s="1"/>
  <c r="J64" i="4"/>
  <c r="J85" i="4" s="1"/>
  <c r="M64" i="4"/>
  <c r="M85" i="4" s="1"/>
  <c r="F64" i="4"/>
  <c r="F85" i="4" s="1"/>
  <c r="O64" i="4"/>
  <c r="O85" i="4" s="1"/>
  <c r="K64" i="4"/>
  <c r="K85" i="4" s="1"/>
  <c r="I64" i="4"/>
  <c r="I85" i="4" s="1"/>
  <c r="D64" i="4"/>
  <c r="D85" i="4" s="1"/>
  <c r="G64" i="4"/>
  <c r="G85" i="4" s="1"/>
  <c r="E64" i="4"/>
  <c r="E85" i="4" s="1"/>
  <c r="N64" i="4"/>
  <c r="N85" i="4" s="1"/>
  <c r="L64" i="4"/>
  <c r="L85" i="4" s="1"/>
  <c r="K69" i="4" l="1"/>
  <c r="K91" i="4" s="1"/>
  <c r="L69" i="4"/>
  <c r="L91" i="4" s="1"/>
  <c r="E69" i="4"/>
  <c r="E91" i="4" s="1"/>
  <c r="N69" i="4"/>
  <c r="N91" i="4" s="1"/>
  <c r="M69" i="4"/>
  <c r="M91" i="4" s="1"/>
  <c r="I69" i="4"/>
  <c r="I91" i="4" s="1"/>
  <c r="G69" i="4"/>
  <c r="G91" i="4" s="1"/>
  <c r="D69" i="4"/>
  <c r="D91" i="4" s="1"/>
  <c r="F69" i="4"/>
  <c r="F91" i="4" s="1"/>
  <c r="H69" i="4"/>
  <c r="H91" i="4" s="1"/>
  <c r="J69" i="4"/>
  <c r="J91" i="4" s="1"/>
  <c r="M71" i="4"/>
  <c r="M93" i="4" s="1"/>
  <c r="M59" i="4"/>
  <c r="M69" i="20"/>
  <c r="M91" i="20" s="1"/>
  <c r="F59" i="4"/>
  <c r="L59" i="4"/>
  <c r="G59" i="4"/>
  <c r="I59" i="4"/>
  <c r="E59" i="4"/>
  <c r="K71" i="4"/>
  <c r="K93" i="4" s="1"/>
  <c r="O71" i="4"/>
  <c r="O93" i="4" s="1"/>
  <c r="I73" i="4"/>
  <c r="I95" i="4" s="1"/>
  <c r="H69" i="20"/>
  <c r="H91" i="20" s="1"/>
  <c r="F69" i="20"/>
  <c r="F91" i="20" s="1"/>
  <c r="I69" i="20"/>
  <c r="I91" i="20" s="1"/>
  <c r="N69" i="20"/>
  <c r="N91" i="20" s="1"/>
  <c r="O69" i="20"/>
  <c r="O91" i="20" s="1"/>
  <c r="J69" i="20"/>
  <c r="J91" i="20" s="1"/>
  <c r="G69" i="20"/>
  <c r="G91" i="20" s="1"/>
  <c r="D69" i="20"/>
  <c r="D91" i="20" s="1"/>
  <c r="E69" i="20"/>
  <c r="E91" i="20" s="1"/>
  <c r="L69" i="20"/>
  <c r="L91" i="20" s="1"/>
  <c r="L73" i="4"/>
  <c r="L95" i="4" s="1"/>
  <c r="J73" i="4"/>
  <c r="J95" i="4" s="1"/>
  <c r="J68" i="20"/>
  <c r="J90" i="20" s="1"/>
  <c r="J72" i="4"/>
  <c r="J94" i="4" s="1"/>
  <c r="K59" i="4"/>
  <c r="H59" i="4"/>
  <c r="D59" i="4"/>
  <c r="N58" i="4"/>
  <c r="O58" i="4"/>
  <c r="L58" i="4"/>
  <c r="I58" i="4"/>
  <c r="F58" i="4"/>
  <c r="J58" i="4"/>
  <c r="D58" i="4"/>
  <c r="N59" i="4"/>
  <c r="J59" i="4"/>
  <c r="L71" i="20"/>
  <c r="L93" i="20" s="1"/>
  <c r="I71" i="20"/>
  <c r="I93" i="20" s="1"/>
  <c r="O71" i="20"/>
  <c r="O93" i="20" s="1"/>
  <c r="P29" i="4"/>
  <c r="E58" i="4"/>
  <c r="H58" i="4"/>
  <c r="K58" i="4"/>
  <c r="M58" i="4"/>
  <c r="K28" i="4"/>
  <c r="T28" i="4" s="1"/>
  <c r="I68" i="20"/>
  <c r="I90" i="20" s="1"/>
  <c r="H58" i="20"/>
  <c r="D58" i="20"/>
  <c r="L58" i="20"/>
  <c r="K58" i="20"/>
  <c r="O58" i="20"/>
  <c r="I58" i="20"/>
  <c r="E58" i="20"/>
  <c r="M58" i="20"/>
  <c r="F58" i="20"/>
  <c r="N58" i="20"/>
  <c r="J58" i="20"/>
  <c r="G58" i="20"/>
  <c r="E68" i="20"/>
  <c r="E90" i="20" s="1"/>
  <c r="D28" i="4"/>
  <c r="K72" i="4"/>
  <c r="K94" i="4" s="1"/>
  <c r="H72" i="4"/>
  <c r="H94" i="4" s="1"/>
  <c r="D71" i="4"/>
  <c r="D93" i="4" s="1"/>
  <c r="N71" i="4"/>
  <c r="N93" i="4" s="1"/>
  <c r="I71" i="4"/>
  <c r="I93" i="4" s="1"/>
  <c r="F71" i="4"/>
  <c r="F93" i="4" s="1"/>
  <c r="E71" i="4"/>
  <c r="E93" i="4" s="1"/>
  <c r="H71" i="4"/>
  <c r="H93" i="4" s="1"/>
  <c r="L71" i="4"/>
  <c r="L93" i="4" s="1"/>
  <c r="G71" i="4"/>
  <c r="G93" i="4" s="1"/>
  <c r="L68" i="4"/>
  <c r="L90" i="4" s="1"/>
  <c r="E72" i="4"/>
  <c r="E94" i="4" s="1"/>
  <c r="L72" i="4"/>
  <c r="L94" i="4" s="1"/>
  <c r="M72" i="4"/>
  <c r="M94" i="4" s="1"/>
  <c r="N72" i="4"/>
  <c r="N94" i="4" s="1"/>
  <c r="I72" i="4"/>
  <c r="I94" i="4" s="1"/>
  <c r="D72" i="4"/>
  <c r="D94" i="4" s="1"/>
  <c r="G72" i="4"/>
  <c r="G94" i="4" s="1"/>
  <c r="F72" i="4"/>
  <c r="F94" i="4" s="1"/>
  <c r="H67" i="4"/>
  <c r="H89" i="4" s="1"/>
  <c r="D67" i="4"/>
  <c r="D89" i="4" s="1"/>
  <c r="E67" i="4"/>
  <c r="E89" i="4" s="1"/>
  <c r="N67" i="4"/>
  <c r="N89" i="4" s="1"/>
  <c r="O68" i="4"/>
  <c r="O90" i="4" s="1"/>
  <c r="K68" i="4"/>
  <c r="K90" i="4" s="1"/>
  <c r="H71" i="20"/>
  <c r="H93" i="20" s="1"/>
  <c r="K71" i="20"/>
  <c r="K93" i="20" s="1"/>
  <c r="N71" i="20"/>
  <c r="N93" i="20" s="1"/>
  <c r="F71" i="20"/>
  <c r="F93" i="20" s="1"/>
  <c r="D71" i="20"/>
  <c r="D93" i="20" s="1"/>
  <c r="E71" i="20"/>
  <c r="E93" i="20" s="1"/>
  <c r="J71" i="20"/>
  <c r="J93" i="20" s="1"/>
  <c r="G71" i="20"/>
  <c r="G93" i="20" s="1"/>
  <c r="M88" i="4"/>
  <c r="G88" i="4"/>
  <c r="H88" i="4"/>
  <c r="M68" i="4"/>
  <c r="M90" i="4" s="1"/>
  <c r="E68" i="4"/>
  <c r="E90" i="4" s="1"/>
  <c r="F68" i="4"/>
  <c r="F90" i="4" s="1"/>
  <c r="I68" i="4"/>
  <c r="I90" i="4" s="1"/>
  <c r="J68" i="4"/>
  <c r="J90" i="4" s="1"/>
  <c r="D68" i="4"/>
  <c r="D90" i="4" s="1"/>
  <c r="H68" i="4"/>
  <c r="H90" i="4" s="1"/>
  <c r="N68" i="4"/>
  <c r="N90" i="4" s="1"/>
  <c r="O88" i="4"/>
  <c r="L67" i="4"/>
  <c r="L89" i="4" s="1"/>
  <c r="I67" i="4"/>
  <c r="I89" i="4" s="1"/>
  <c r="F67" i="4"/>
  <c r="F89" i="4" s="1"/>
  <c r="G67" i="4"/>
  <c r="G89" i="4" s="1"/>
  <c r="K67" i="4"/>
  <c r="K89" i="4" s="1"/>
  <c r="N72" i="20"/>
  <c r="N94" i="20" s="1"/>
  <c r="L72" i="20"/>
  <c r="L94" i="20" s="1"/>
  <c r="M68" i="20"/>
  <c r="M90" i="20" s="1"/>
  <c r="D68" i="20"/>
  <c r="D90" i="20" s="1"/>
  <c r="O68" i="20"/>
  <c r="O90" i="20" s="1"/>
  <c r="L68" i="20"/>
  <c r="L90" i="20" s="1"/>
  <c r="H68" i="20"/>
  <c r="H90" i="20" s="1"/>
  <c r="K68" i="20"/>
  <c r="K90" i="20" s="1"/>
  <c r="G68" i="20"/>
  <c r="G90" i="20" s="1"/>
  <c r="F68" i="20"/>
  <c r="F90" i="20" s="1"/>
  <c r="J67" i="4"/>
  <c r="J89" i="4" s="1"/>
  <c r="M67" i="4"/>
  <c r="M89" i="4" s="1"/>
  <c r="J72" i="20"/>
  <c r="J94" i="20" s="1"/>
  <c r="I72" i="20"/>
  <c r="I94" i="20" s="1"/>
  <c r="J88" i="4"/>
  <c r="D88" i="4"/>
  <c r="H72" i="20"/>
  <c r="H94" i="20" s="1"/>
  <c r="G72" i="20"/>
  <c r="G94" i="20" s="1"/>
  <c r="D72" i="20"/>
  <c r="D94" i="20" s="1"/>
  <c r="N88" i="4"/>
  <c r="F70" i="4"/>
  <c r="F92" i="4" s="1"/>
  <c r="L88" i="4"/>
  <c r="O70" i="4"/>
  <c r="O92" i="4" s="1"/>
  <c r="K88" i="4"/>
  <c r="E88" i="4"/>
  <c r="P30" i="4"/>
  <c r="K73" i="4"/>
  <c r="K95" i="4" s="1"/>
  <c r="H73" i="4"/>
  <c r="H95" i="4" s="1"/>
  <c r="G73" i="4"/>
  <c r="G95" i="4" s="1"/>
  <c r="I88" i="4"/>
  <c r="O73" i="4"/>
  <c r="O95" i="4" s="1"/>
  <c r="N73" i="4"/>
  <c r="N95" i="4" s="1"/>
  <c r="F73" i="4"/>
  <c r="F95" i="4" s="1"/>
  <c r="F88" i="4"/>
  <c r="E73" i="4"/>
  <c r="E95" i="4" s="1"/>
  <c r="D73" i="4"/>
  <c r="D95" i="4" s="1"/>
  <c r="J88" i="20"/>
  <c r="R28" i="4"/>
  <c r="G88" i="20"/>
  <c r="M88" i="20"/>
  <c r="D88" i="20"/>
  <c r="H88" i="20"/>
  <c r="L70" i="4"/>
  <c r="L92" i="4" s="1"/>
  <c r="M70" i="4"/>
  <c r="M92" i="4" s="1"/>
  <c r="G70" i="4"/>
  <c r="G92" i="4" s="1"/>
  <c r="I70" i="4"/>
  <c r="I92" i="4" s="1"/>
  <c r="J70" i="4"/>
  <c r="J92" i="4" s="1"/>
  <c r="H70" i="4"/>
  <c r="H92" i="4" s="1"/>
  <c r="E70" i="4"/>
  <c r="E92" i="4" s="1"/>
  <c r="D70" i="4"/>
  <c r="D92" i="4" s="1"/>
  <c r="N70" i="4"/>
  <c r="N92" i="4" s="1"/>
  <c r="E72" i="20"/>
  <c r="E94" i="20" s="1"/>
  <c r="O72" i="20"/>
  <c r="O94" i="20" s="1"/>
  <c r="L88" i="20"/>
  <c r="I88" i="20"/>
  <c r="N88" i="20"/>
  <c r="M72" i="20"/>
  <c r="M94" i="20" s="1"/>
  <c r="K72" i="20"/>
  <c r="K94" i="20" s="1"/>
  <c r="O88" i="20"/>
  <c r="K88" i="20"/>
  <c r="E88" i="20"/>
  <c r="F88" i="20"/>
  <c r="R28" i="20"/>
  <c r="P28" i="20"/>
  <c r="P28" i="4" l="1"/>
  <c r="G56" i="4" s="1"/>
  <c r="G79" i="4" s="1"/>
  <c r="N96" i="20"/>
  <c r="E96" i="20"/>
  <c r="F96" i="20"/>
  <c r="I96" i="20"/>
  <c r="J96" i="20"/>
  <c r="L96" i="4"/>
  <c r="M96" i="20"/>
  <c r="O96" i="20"/>
  <c r="N96" i="4"/>
  <c r="G96" i="20"/>
  <c r="K96" i="20"/>
  <c r="D96" i="20"/>
  <c r="H96" i="20"/>
  <c r="L96" i="20"/>
  <c r="I96" i="4"/>
  <c r="F96" i="4"/>
  <c r="K96" i="4"/>
  <c r="J96" i="4"/>
  <c r="O96" i="4"/>
  <c r="M96" i="4"/>
  <c r="D96" i="4"/>
  <c r="H96" i="4"/>
  <c r="E96" i="4"/>
  <c r="G96" i="4"/>
  <c r="D54" i="20"/>
  <c r="D76" i="20" s="1"/>
  <c r="I56" i="20"/>
  <c r="F54" i="20"/>
  <c r="F76" i="20" s="1"/>
  <c r="M54" i="20"/>
  <c r="M76" i="20" s="1"/>
  <c r="L56" i="20"/>
  <c r="J54" i="20"/>
  <c r="J76" i="20" s="1"/>
  <c r="O54" i="20"/>
  <c r="O76" i="20" s="1"/>
  <c r="H56" i="20"/>
  <c r="K54" i="20"/>
  <c r="K76" i="20" s="1"/>
  <c r="J56" i="20"/>
  <c r="N54" i="20"/>
  <c r="N76" i="20" s="1"/>
  <c r="G56" i="20"/>
  <c r="K56" i="20"/>
  <c r="D56" i="20"/>
  <c r="G54" i="20"/>
  <c r="G76" i="20" s="1"/>
  <c r="M56" i="20"/>
  <c r="F56" i="20"/>
  <c r="E54" i="20"/>
  <c r="E76" i="20" s="1"/>
  <c r="O56" i="20"/>
  <c r="E56" i="20"/>
  <c r="L54" i="20"/>
  <c r="L76" i="20" s="1"/>
  <c r="I54" i="20"/>
  <c r="I76" i="20" s="1"/>
  <c r="N56" i="20"/>
  <c r="H54" i="20"/>
  <c r="H76" i="20" s="1"/>
  <c r="G78" i="4" l="1"/>
  <c r="E54" i="4"/>
  <c r="E76" i="4" s="1"/>
  <c r="K54" i="4"/>
  <c r="K77" i="4" s="1"/>
  <c r="K97" i="4" s="1"/>
  <c r="L54" i="4"/>
  <c r="L101" i="4" s="1"/>
  <c r="L103" i="4" s="1"/>
  <c r="G102" i="4"/>
  <c r="O54" i="4"/>
  <c r="O76" i="4" s="1"/>
  <c r="O56" i="4"/>
  <c r="O79" i="4" s="1"/>
  <c r="O98" i="4" s="1"/>
  <c r="D54" i="4"/>
  <c r="D77" i="4" s="1"/>
  <c r="D97" i="4" s="1"/>
  <c r="G54" i="4"/>
  <c r="G101" i="4" s="1"/>
  <c r="G103" i="4" s="1"/>
  <c r="K56" i="4"/>
  <c r="K78" i="4" s="1"/>
  <c r="D56" i="4"/>
  <c r="D79" i="4" s="1"/>
  <c r="D98" i="4" s="1"/>
  <c r="H56" i="4"/>
  <c r="H78" i="4" s="1"/>
  <c r="E56" i="4"/>
  <c r="E78" i="4" s="1"/>
  <c r="I56" i="4"/>
  <c r="I79" i="4" s="1"/>
  <c r="I98" i="4" s="1"/>
  <c r="M56" i="4"/>
  <c r="M102" i="4" s="1"/>
  <c r="J56" i="4"/>
  <c r="J102" i="4" s="1"/>
  <c r="N54" i="4"/>
  <c r="N76" i="4" s="1"/>
  <c r="N56" i="4"/>
  <c r="N78" i="4" s="1"/>
  <c r="J54" i="4"/>
  <c r="J76" i="4" s="1"/>
  <c r="M54" i="4"/>
  <c r="M76" i="4" s="1"/>
  <c r="F54" i="4"/>
  <c r="F76" i="4" s="1"/>
  <c r="H54" i="4"/>
  <c r="H76" i="4" s="1"/>
  <c r="L56" i="4"/>
  <c r="L79" i="4" s="1"/>
  <c r="L98" i="4" s="1"/>
  <c r="F56" i="4"/>
  <c r="F78" i="4" s="1"/>
  <c r="I54" i="4"/>
  <c r="I76" i="4" s="1"/>
  <c r="G98" i="4"/>
  <c r="L77" i="20"/>
  <c r="L97" i="20" s="1"/>
  <c r="L99" i="20" s="1"/>
  <c r="L101" i="20"/>
  <c r="F78" i="20"/>
  <c r="F102" i="20"/>
  <c r="F79" i="20"/>
  <c r="F98" i="20" s="1"/>
  <c r="K78" i="20"/>
  <c r="K102" i="20"/>
  <c r="K79" i="20"/>
  <c r="K98" i="20" s="1"/>
  <c r="K77" i="20"/>
  <c r="K97" i="20" s="1"/>
  <c r="K99" i="20" s="1"/>
  <c r="K101" i="20"/>
  <c r="L79" i="20"/>
  <c r="L98" i="20" s="1"/>
  <c r="L102" i="20"/>
  <c r="L78" i="20"/>
  <c r="D77" i="20"/>
  <c r="D97" i="20" s="1"/>
  <c r="D99" i="20" s="1"/>
  <c r="D101" i="20"/>
  <c r="D103" i="20" s="1"/>
  <c r="I101" i="20"/>
  <c r="I77" i="20"/>
  <c r="I97" i="20" s="1"/>
  <c r="I99" i="20" s="1"/>
  <c r="E101" i="20"/>
  <c r="E77" i="20"/>
  <c r="E97" i="20" s="1"/>
  <c r="E99" i="20" s="1"/>
  <c r="D102" i="20"/>
  <c r="D104" i="20" s="1"/>
  <c r="D79" i="20"/>
  <c r="D98" i="20" s="1"/>
  <c r="D78" i="20"/>
  <c r="J79" i="20"/>
  <c r="J98" i="20" s="1"/>
  <c r="J102" i="20"/>
  <c r="J78" i="20"/>
  <c r="J101" i="20"/>
  <c r="J77" i="20"/>
  <c r="J97" i="20" s="1"/>
  <c r="J99" i="20" s="1"/>
  <c r="I79" i="20"/>
  <c r="I98" i="20" s="1"/>
  <c r="I102" i="20"/>
  <c r="I78" i="20"/>
  <c r="N79" i="20"/>
  <c r="N98" i="20" s="1"/>
  <c r="N102" i="20"/>
  <c r="N78" i="20"/>
  <c r="O79" i="20"/>
  <c r="O98" i="20" s="1"/>
  <c r="O78" i="20"/>
  <c r="O102" i="20"/>
  <c r="G101" i="20"/>
  <c r="G77" i="20"/>
  <c r="G97" i="20" s="1"/>
  <c r="G99" i="20" s="1"/>
  <c r="N77" i="20"/>
  <c r="N97" i="20" s="1"/>
  <c r="N99" i="20" s="1"/>
  <c r="N101" i="20"/>
  <c r="O77" i="20"/>
  <c r="O97" i="20" s="1"/>
  <c r="O99" i="20" s="1"/>
  <c r="O101" i="20"/>
  <c r="F77" i="20"/>
  <c r="F97" i="20" s="1"/>
  <c r="F99" i="20" s="1"/>
  <c r="F101" i="20"/>
  <c r="H101" i="20"/>
  <c r="H77" i="20"/>
  <c r="H97" i="20" s="1"/>
  <c r="H99" i="20" s="1"/>
  <c r="E79" i="20"/>
  <c r="E98" i="20" s="1"/>
  <c r="E102" i="20"/>
  <c r="E78" i="20"/>
  <c r="M78" i="20"/>
  <c r="M102" i="20"/>
  <c r="M79" i="20"/>
  <c r="M98" i="20" s="1"/>
  <c r="G78" i="20"/>
  <c r="G102" i="20"/>
  <c r="G79" i="20"/>
  <c r="G98" i="20" s="1"/>
  <c r="H102" i="20"/>
  <c r="H79" i="20"/>
  <c r="H98" i="20" s="1"/>
  <c r="H78" i="20"/>
  <c r="M77" i="20"/>
  <c r="M97" i="20" s="1"/>
  <c r="M99" i="20" s="1"/>
  <c r="M101" i="20"/>
  <c r="F99" i="4" l="1"/>
  <c r="L76" i="4"/>
  <c r="L104" i="4"/>
  <c r="N101" i="4"/>
  <c r="N104" i="4" s="1"/>
  <c r="G104" i="4"/>
  <c r="G76" i="4"/>
  <c r="G99" i="4" s="1"/>
  <c r="N79" i="4"/>
  <c r="N98" i="4" s="1"/>
  <c r="N100" i="4" s="1"/>
  <c r="O101" i="4"/>
  <c r="O104" i="4" s="1"/>
  <c r="E77" i="4"/>
  <c r="E97" i="4" s="1"/>
  <c r="E99" i="4" s="1"/>
  <c r="E101" i="4"/>
  <c r="E103" i="4" s="1"/>
  <c r="I78" i="4"/>
  <c r="I100" i="4" s="1"/>
  <c r="I102" i="4"/>
  <c r="K79" i="4"/>
  <c r="K98" i="4" s="1"/>
  <c r="K100" i="4" s="1"/>
  <c r="M78" i="4"/>
  <c r="D76" i="4"/>
  <c r="D99" i="4" s="1"/>
  <c r="I101" i="4"/>
  <c r="I104" i="4" s="1"/>
  <c r="D102" i="4"/>
  <c r="D104" i="4" s="1"/>
  <c r="G100" i="4"/>
  <c r="H79" i="4"/>
  <c r="H98" i="4" s="1"/>
  <c r="H100" i="4" s="1"/>
  <c r="O78" i="4"/>
  <c r="O100" i="4" s="1"/>
  <c r="O106" i="4" s="1"/>
  <c r="O110" i="4" s="1"/>
  <c r="L102" i="4"/>
  <c r="L78" i="4"/>
  <c r="L100" i="4" s="1"/>
  <c r="O102" i="4"/>
  <c r="J77" i="4"/>
  <c r="J97" i="4" s="1"/>
  <c r="J99" i="4" s="1"/>
  <c r="K76" i="4"/>
  <c r="K99" i="4" s="1"/>
  <c r="K101" i="4"/>
  <c r="K103" i="4" s="1"/>
  <c r="J101" i="4"/>
  <c r="M79" i="4"/>
  <c r="M98" i="4" s="1"/>
  <c r="G77" i="4"/>
  <c r="G97" i="4" s="1"/>
  <c r="F101" i="4"/>
  <c r="F104" i="4" s="1"/>
  <c r="D78" i="4"/>
  <c r="D100" i="4" s="1"/>
  <c r="D101" i="4"/>
  <c r="D103" i="4" s="1"/>
  <c r="H102" i="4"/>
  <c r="J78" i="4"/>
  <c r="F77" i="4"/>
  <c r="F97" i="4" s="1"/>
  <c r="L77" i="4"/>
  <c r="L97" i="4" s="1"/>
  <c r="N77" i="4"/>
  <c r="N97" i="4" s="1"/>
  <c r="N99" i="4" s="1"/>
  <c r="K102" i="4"/>
  <c r="H101" i="4"/>
  <c r="H104" i="4" s="1"/>
  <c r="J79" i="4"/>
  <c r="J98" i="4" s="1"/>
  <c r="H77" i="4"/>
  <c r="H97" i="4" s="1"/>
  <c r="H99" i="4" s="1"/>
  <c r="M77" i="4"/>
  <c r="M97" i="4" s="1"/>
  <c r="M99" i="4" s="1"/>
  <c r="F79" i="4"/>
  <c r="F98" i="4" s="1"/>
  <c r="F100" i="4" s="1"/>
  <c r="N102" i="4"/>
  <c r="M101" i="4"/>
  <c r="M104" i="4" s="1"/>
  <c r="O77" i="4"/>
  <c r="O97" i="4" s="1"/>
  <c r="O99" i="4" s="1"/>
  <c r="E102" i="4"/>
  <c r="E79" i="4"/>
  <c r="E98" i="4" s="1"/>
  <c r="E100" i="4" s="1"/>
  <c r="F102" i="4"/>
  <c r="I77" i="4"/>
  <c r="I97" i="4" s="1"/>
  <c r="I99" i="4" s="1"/>
  <c r="E100" i="20"/>
  <c r="G100" i="20"/>
  <c r="I100" i="20"/>
  <c r="N100" i="20"/>
  <c r="D100" i="20"/>
  <c r="D106" i="20" s="1"/>
  <c r="D110" i="20" s="1"/>
  <c r="L100" i="20"/>
  <c r="K100" i="20"/>
  <c r="D105" i="20"/>
  <c r="D109" i="20" s="1"/>
  <c r="F100" i="20"/>
  <c r="H100" i="20"/>
  <c r="M100" i="20"/>
  <c r="O100" i="20"/>
  <c r="F104" i="20"/>
  <c r="F103" i="20"/>
  <c r="J100" i="20"/>
  <c r="H104" i="20"/>
  <c r="H103" i="20"/>
  <c r="O104" i="20"/>
  <c r="O103" i="20"/>
  <c r="N104" i="20"/>
  <c r="N103" i="20"/>
  <c r="G104" i="20"/>
  <c r="G103" i="20"/>
  <c r="J103" i="20"/>
  <c r="J104" i="20"/>
  <c r="E104" i="20"/>
  <c r="E103" i="20"/>
  <c r="I103" i="20"/>
  <c r="I104" i="20"/>
  <c r="L104" i="20"/>
  <c r="L103" i="20"/>
  <c r="M104" i="20"/>
  <c r="M103" i="20"/>
  <c r="K104" i="20"/>
  <c r="K103" i="20"/>
  <c r="L99" i="4" l="1"/>
  <c r="L105" i="4" s="1"/>
  <c r="L109" i="4" s="1"/>
  <c r="O103" i="4"/>
  <c r="L106" i="4"/>
  <c r="L110" i="4" s="1"/>
  <c r="N103" i="4"/>
  <c r="N105" i="4" s="1"/>
  <c r="N109" i="4" s="1"/>
  <c r="N106" i="4"/>
  <c r="N110" i="4" s="1"/>
  <c r="E104" i="4"/>
  <c r="E106" i="4" s="1"/>
  <c r="E110" i="4" s="1"/>
  <c r="G106" i="4"/>
  <c r="G110" i="4" s="1"/>
  <c r="G105" i="4"/>
  <c r="G109" i="4" s="1"/>
  <c r="M100" i="4"/>
  <c r="M106" i="4" s="1"/>
  <c r="M110" i="4" s="1"/>
  <c r="E105" i="4"/>
  <c r="E109" i="4" s="1"/>
  <c r="I106" i="4"/>
  <c r="I110" i="4" s="1"/>
  <c r="I103" i="4"/>
  <c r="I105" i="4" s="1"/>
  <c r="I109" i="4" s="1"/>
  <c r="F106" i="4"/>
  <c r="F110" i="4" s="1"/>
  <c r="O105" i="4"/>
  <c r="O109" i="4" s="1"/>
  <c r="O113" i="4" s="1"/>
  <c r="D105" i="4"/>
  <c r="D109" i="4" s="1"/>
  <c r="K105" i="4"/>
  <c r="K109" i="4" s="1"/>
  <c r="H103" i="4"/>
  <c r="H105" i="4" s="1"/>
  <c r="H109" i="4" s="1"/>
  <c r="D106" i="4"/>
  <c r="D110" i="4" s="1"/>
  <c r="K104" i="4"/>
  <c r="K106" i="4" s="1"/>
  <c r="K110" i="4" s="1"/>
  <c r="H106" i="4"/>
  <c r="H110" i="4" s="1"/>
  <c r="J100" i="4"/>
  <c r="F103" i="4"/>
  <c r="F105" i="4" s="1"/>
  <c r="F109" i="4" s="1"/>
  <c r="J103" i="4"/>
  <c r="J105" i="4" s="1"/>
  <c r="J109" i="4" s="1"/>
  <c r="J104" i="4"/>
  <c r="M103" i="4"/>
  <c r="M105" i="4" s="1"/>
  <c r="M109" i="4" s="1"/>
  <c r="K106" i="20"/>
  <c r="K110" i="20" s="1"/>
  <c r="E105" i="20"/>
  <c r="E109" i="20" s="1"/>
  <c r="E106" i="20"/>
  <c r="E110" i="20" s="1"/>
  <c r="G105" i="20"/>
  <c r="G109" i="20" s="1"/>
  <c r="F105" i="20"/>
  <c r="F109" i="20" s="1"/>
  <c r="G106" i="20"/>
  <c r="G110" i="20" s="1"/>
  <c r="F106" i="20"/>
  <c r="F110" i="20" s="1"/>
  <c r="L106" i="20"/>
  <c r="L110" i="20" s="1"/>
  <c r="M105" i="20"/>
  <c r="M109" i="20" s="1"/>
  <c r="I106" i="20"/>
  <c r="I110" i="20" s="1"/>
  <c r="I105" i="20"/>
  <c r="I109" i="20" s="1"/>
  <c r="N106" i="20"/>
  <c r="N110" i="20" s="1"/>
  <c r="D112" i="20"/>
  <c r="N105" i="20"/>
  <c r="N109" i="20" s="1"/>
  <c r="O105" i="20"/>
  <c r="O109" i="20" s="1"/>
  <c r="L105" i="20"/>
  <c r="L109" i="20" s="1"/>
  <c r="H105" i="20"/>
  <c r="H109" i="20" s="1"/>
  <c r="K105" i="20"/>
  <c r="K109" i="20" s="1"/>
  <c r="J106" i="20"/>
  <c r="J110" i="20" s="1"/>
  <c r="J105" i="20"/>
  <c r="J109" i="20" s="1"/>
  <c r="D113" i="20"/>
  <c r="M106" i="20"/>
  <c r="M110" i="20" s="1"/>
  <c r="O106" i="20"/>
  <c r="O110" i="20" s="1"/>
  <c r="H106" i="20"/>
  <c r="H110" i="20" s="1"/>
  <c r="D310" i="20" l="1"/>
  <c r="D296" i="20"/>
  <c r="D249" i="20"/>
  <c r="D235" i="20"/>
  <c r="D311" i="20"/>
  <c r="D297" i="20"/>
  <c r="D250" i="20"/>
  <c r="D236" i="20"/>
  <c r="D232" i="20"/>
  <c r="D231" i="20"/>
  <c r="D230" i="20"/>
  <c r="D229" i="20"/>
  <c r="D228" i="20"/>
  <c r="D227" i="20"/>
  <c r="D226" i="20"/>
  <c r="D225" i="20"/>
  <c r="D312" i="20"/>
  <c r="D308" i="20"/>
  <c r="D307" i="20"/>
  <c r="D306" i="20"/>
  <c r="D305" i="20"/>
  <c r="D304" i="20"/>
  <c r="D303" i="20"/>
  <c r="D302" i="20"/>
  <c r="D301" i="20"/>
  <c r="D298" i="20"/>
  <c r="D294" i="20"/>
  <c r="D293" i="20"/>
  <c r="D292" i="20"/>
  <c r="D291" i="20"/>
  <c r="D290" i="20"/>
  <c r="D289" i="20"/>
  <c r="D288" i="20"/>
  <c r="D287" i="20"/>
  <c r="D251" i="20"/>
  <c r="D247" i="20"/>
  <c r="D246" i="20"/>
  <c r="D245" i="20"/>
  <c r="D244" i="20"/>
  <c r="D243" i="20"/>
  <c r="D242" i="20"/>
  <c r="D241" i="20"/>
  <c r="D240" i="20"/>
  <c r="D233" i="20"/>
  <c r="D309" i="20"/>
  <c r="D295" i="20"/>
  <c r="D248" i="20"/>
  <c r="D234" i="20"/>
  <c r="D140" i="20"/>
  <c r="D280" i="20"/>
  <c r="D266" i="20"/>
  <c r="D281" i="20"/>
  <c r="D267" i="20"/>
  <c r="D282" i="20"/>
  <c r="D278" i="20"/>
  <c r="D277" i="20"/>
  <c r="D276" i="20"/>
  <c r="D275" i="20"/>
  <c r="D274" i="20"/>
  <c r="D273" i="20"/>
  <c r="D272" i="20"/>
  <c r="D271" i="20"/>
  <c r="D268" i="20"/>
  <c r="D264" i="20"/>
  <c r="D263" i="20"/>
  <c r="D262" i="20"/>
  <c r="D261" i="20"/>
  <c r="D260" i="20"/>
  <c r="D259" i="20"/>
  <c r="D258" i="20"/>
  <c r="D257" i="20"/>
  <c r="D279" i="20"/>
  <c r="D265" i="20"/>
  <c r="D217" i="20"/>
  <c r="D203" i="20"/>
  <c r="D218" i="20"/>
  <c r="D204" i="20"/>
  <c r="D200" i="20"/>
  <c r="D199" i="20"/>
  <c r="D198" i="20"/>
  <c r="D197" i="20"/>
  <c r="D196" i="20"/>
  <c r="D195" i="20"/>
  <c r="D194" i="20"/>
  <c r="D193" i="20"/>
  <c r="D219" i="20"/>
  <c r="D215" i="20"/>
  <c r="D214" i="20"/>
  <c r="D213" i="20"/>
  <c r="D212" i="20"/>
  <c r="D211" i="20"/>
  <c r="D210" i="20"/>
  <c r="D209" i="20"/>
  <c r="D208" i="20"/>
  <c r="D201" i="20"/>
  <c r="D216" i="20"/>
  <c r="D202" i="20"/>
  <c r="O305" i="4"/>
  <c r="O311" i="4"/>
  <c r="O288" i="4"/>
  <c r="O292" i="4"/>
  <c r="O296" i="4"/>
  <c r="O302" i="4"/>
  <c r="O309" i="4"/>
  <c r="O308" i="4"/>
  <c r="O301" i="4"/>
  <c r="O306" i="4"/>
  <c r="O312" i="4"/>
  <c r="O289" i="4"/>
  <c r="O293" i="4"/>
  <c r="O297" i="4"/>
  <c r="O303" i="4"/>
  <c r="O307" i="4"/>
  <c r="O290" i="4"/>
  <c r="O294" i="4"/>
  <c r="O298" i="4"/>
  <c r="O304" i="4"/>
  <c r="O310" i="4"/>
  <c r="O287" i="4"/>
  <c r="O291" i="4"/>
  <c r="O295" i="4"/>
  <c r="O148" i="4"/>
  <c r="O179" i="4" s="1"/>
  <c r="M16" i="25" s="1"/>
  <c r="O244" i="4"/>
  <c r="O248" i="4"/>
  <c r="O229" i="4"/>
  <c r="O233" i="4"/>
  <c r="O225" i="4"/>
  <c r="O241" i="4"/>
  <c r="O245" i="4"/>
  <c r="O249" i="4"/>
  <c r="O226" i="4"/>
  <c r="O230" i="4"/>
  <c r="O234" i="4"/>
  <c r="O242" i="4"/>
  <c r="O246" i="4"/>
  <c r="O250" i="4"/>
  <c r="O227" i="4"/>
  <c r="O231" i="4"/>
  <c r="O235" i="4"/>
  <c r="O243" i="4"/>
  <c r="O247" i="4"/>
  <c r="O251" i="4"/>
  <c r="O240" i="4"/>
  <c r="O228" i="4"/>
  <c r="O232" i="4"/>
  <c r="O236" i="4"/>
  <c r="L112" i="4"/>
  <c r="L113" i="4"/>
  <c r="K112" i="4"/>
  <c r="N112" i="4"/>
  <c r="H113" i="4"/>
  <c r="O112" i="4"/>
  <c r="G112" i="4"/>
  <c r="N113" i="4"/>
  <c r="E113" i="4"/>
  <c r="G113" i="4"/>
  <c r="K113" i="20"/>
  <c r="I113" i="4"/>
  <c r="D112" i="4"/>
  <c r="H112" i="4"/>
  <c r="M113" i="4"/>
  <c r="D113" i="4"/>
  <c r="J106" i="4"/>
  <c r="J110" i="4" s="1"/>
  <c r="J112" i="4" s="1"/>
  <c r="F112" i="4"/>
  <c r="F113" i="4"/>
  <c r="K113" i="4"/>
  <c r="M112" i="4"/>
  <c r="I112" i="4"/>
  <c r="K133" i="4"/>
  <c r="K164" i="4" s="1"/>
  <c r="I3" i="25" s="1"/>
  <c r="E112" i="4"/>
  <c r="L135" i="4"/>
  <c r="D141" i="20"/>
  <c r="O154" i="4"/>
  <c r="O185" i="4" s="1"/>
  <c r="E113" i="20"/>
  <c r="D139" i="20"/>
  <c r="D170" i="20" s="1"/>
  <c r="D132" i="20"/>
  <c r="D163" i="20" s="1"/>
  <c r="D135" i="20"/>
  <c r="D136" i="20"/>
  <c r="D167" i="20" s="1"/>
  <c r="B6" i="24" s="1"/>
  <c r="L142" i="4"/>
  <c r="D133" i="20"/>
  <c r="G113" i="20"/>
  <c r="G112" i="20"/>
  <c r="L112" i="20"/>
  <c r="D134" i="20"/>
  <c r="H113" i="20"/>
  <c r="D114" i="20"/>
  <c r="D143" i="20"/>
  <c r="D174" i="20" s="1"/>
  <c r="B12" i="24" s="1"/>
  <c r="M113" i="20"/>
  <c r="E112" i="20"/>
  <c r="F112" i="20"/>
  <c r="O113" i="20"/>
  <c r="K112" i="20"/>
  <c r="L113" i="20"/>
  <c r="F113" i="20"/>
  <c r="D137" i="20"/>
  <c r="D168" i="20" s="1"/>
  <c r="B7" i="24" s="1"/>
  <c r="D142" i="20"/>
  <c r="D138" i="20"/>
  <c r="D169" i="20" s="1"/>
  <c r="B8" i="24" s="1"/>
  <c r="I112" i="20"/>
  <c r="J113" i="20"/>
  <c r="I113" i="20"/>
  <c r="N112" i="20"/>
  <c r="N113" i="20"/>
  <c r="O150" i="4"/>
  <c r="J112" i="20"/>
  <c r="D153" i="20"/>
  <c r="D184" i="20" s="1"/>
  <c r="B21" i="24" s="1"/>
  <c r="D150" i="20"/>
  <c r="D152" i="20"/>
  <c r="D183" i="20" s="1"/>
  <c r="B20" i="24" s="1"/>
  <c r="D148" i="20"/>
  <c r="D151" i="20"/>
  <c r="D182" i="20" s="1"/>
  <c r="B19" i="24" s="1"/>
  <c r="D158" i="20"/>
  <c r="D189" i="20" s="1"/>
  <c r="B25" i="24" s="1"/>
  <c r="D115" i="20"/>
  <c r="D147" i="20"/>
  <c r="D157" i="20"/>
  <c r="D149" i="20"/>
  <c r="D155" i="20"/>
  <c r="D156" i="20"/>
  <c r="D154" i="20"/>
  <c r="D185" i="20" s="1"/>
  <c r="M112" i="20"/>
  <c r="O112" i="20"/>
  <c r="H112" i="20"/>
  <c r="O115" i="4"/>
  <c r="O156" i="4"/>
  <c r="O187" i="4" s="1"/>
  <c r="M23" i="25" s="1"/>
  <c r="O147" i="4"/>
  <c r="O178" i="4" s="1"/>
  <c r="O155" i="4"/>
  <c r="O186" i="4" s="1"/>
  <c r="M22" i="25" s="1"/>
  <c r="O157" i="4"/>
  <c r="O153" i="4"/>
  <c r="O184" i="4" s="1"/>
  <c r="M21" i="25" s="1"/>
  <c r="O151" i="4"/>
  <c r="O182" i="4" s="1"/>
  <c r="M19" i="25" s="1"/>
  <c r="O152" i="4"/>
  <c r="O183" i="4" s="1"/>
  <c r="M20" i="25" s="1"/>
  <c r="O149" i="4"/>
  <c r="O180" i="4" s="1"/>
  <c r="M17" i="25" s="1"/>
  <c r="O158" i="4"/>
  <c r="O189" i="4" s="1"/>
  <c r="M25" i="25" s="1"/>
  <c r="H280" i="20" l="1"/>
  <c r="H266" i="20"/>
  <c r="H281" i="20"/>
  <c r="H267" i="20"/>
  <c r="H282" i="20"/>
  <c r="H278" i="20"/>
  <c r="H277" i="20"/>
  <c r="H276" i="20"/>
  <c r="H275" i="20"/>
  <c r="H274" i="20"/>
  <c r="H273" i="20"/>
  <c r="H272" i="20"/>
  <c r="H271" i="20"/>
  <c r="H268" i="20"/>
  <c r="H264" i="20"/>
  <c r="H263" i="20"/>
  <c r="H262" i="20"/>
  <c r="H261" i="20"/>
  <c r="H260" i="20"/>
  <c r="H259" i="20"/>
  <c r="H258" i="20"/>
  <c r="H257" i="20"/>
  <c r="H279" i="20"/>
  <c r="H265" i="20"/>
  <c r="H217" i="20"/>
  <c r="H203" i="20"/>
  <c r="H218" i="20"/>
  <c r="H204" i="20"/>
  <c r="H200" i="20"/>
  <c r="H199" i="20"/>
  <c r="H198" i="20"/>
  <c r="H197" i="20"/>
  <c r="H196" i="20"/>
  <c r="H195" i="20"/>
  <c r="H194" i="20"/>
  <c r="H193" i="20"/>
  <c r="H219" i="20"/>
  <c r="H215" i="20"/>
  <c r="H214" i="20"/>
  <c r="H213" i="20"/>
  <c r="H212" i="20"/>
  <c r="H211" i="20"/>
  <c r="H210" i="20"/>
  <c r="H209" i="20"/>
  <c r="H208" i="20"/>
  <c r="H201" i="20"/>
  <c r="H216" i="20"/>
  <c r="H202" i="20"/>
  <c r="D188" i="20"/>
  <c r="B24" i="24" s="1"/>
  <c r="D252" i="20"/>
  <c r="N142" i="20"/>
  <c r="N282" i="20"/>
  <c r="N278" i="20"/>
  <c r="N277" i="20"/>
  <c r="N276" i="20"/>
  <c r="N275" i="20"/>
  <c r="N274" i="20"/>
  <c r="N273" i="20"/>
  <c r="N272" i="20"/>
  <c r="N271" i="20"/>
  <c r="N268" i="20"/>
  <c r="N264" i="20"/>
  <c r="N263" i="20"/>
  <c r="N262" i="20"/>
  <c r="N261" i="20"/>
  <c r="N260" i="20"/>
  <c r="N259" i="20"/>
  <c r="N258" i="20"/>
  <c r="N257" i="20"/>
  <c r="N279" i="20"/>
  <c r="N265" i="20"/>
  <c r="N280" i="20"/>
  <c r="N266" i="20"/>
  <c r="N281" i="20"/>
  <c r="N267" i="20"/>
  <c r="N219" i="20"/>
  <c r="N215" i="20"/>
  <c r="N214" i="20"/>
  <c r="N213" i="20"/>
  <c r="N212" i="20"/>
  <c r="N211" i="20"/>
  <c r="N210" i="20"/>
  <c r="N209" i="20"/>
  <c r="N208" i="20"/>
  <c r="N201" i="20"/>
  <c r="N216" i="20"/>
  <c r="N202" i="20"/>
  <c r="N217" i="20"/>
  <c r="N203" i="20"/>
  <c r="N218" i="20"/>
  <c r="N204" i="20"/>
  <c r="N200" i="20"/>
  <c r="N199" i="20"/>
  <c r="N198" i="20"/>
  <c r="N197" i="20"/>
  <c r="N196" i="20"/>
  <c r="N195" i="20"/>
  <c r="N194" i="20"/>
  <c r="N193" i="20"/>
  <c r="L158" i="20"/>
  <c r="L189" i="20" s="1"/>
  <c r="J25" i="24" s="1"/>
  <c r="L310" i="20"/>
  <c r="L296" i="20"/>
  <c r="L249" i="20"/>
  <c r="L235" i="20"/>
  <c r="L311" i="20"/>
  <c r="L297" i="20"/>
  <c r="L250" i="20"/>
  <c r="L236" i="20"/>
  <c r="L232" i="20"/>
  <c r="L231" i="20"/>
  <c r="L230" i="20"/>
  <c r="L229" i="20"/>
  <c r="L228" i="20"/>
  <c r="L227" i="20"/>
  <c r="L226" i="20"/>
  <c r="L225" i="20"/>
  <c r="L312" i="20"/>
  <c r="L308" i="20"/>
  <c r="L307" i="20"/>
  <c r="L306" i="20"/>
  <c r="L305" i="20"/>
  <c r="L304" i="20"/>
  <c r="L303" i="20"/>
  <c r="L302" i="20"/>
  <c r="L301" i="20"/>
  <c r="L298" i="20"/>
  <c r="L294" i="20"/>
  <c r="L293" i="20"/>
  <c r="L292" i="20"/>
  <c r="L291" i="20"/>
  <c r="L290" i="20"/>
  <c r="L289" i="20"/>
  <c r="L288" i="20"/>
  <c r="L287" i="20"/>
  <c r="L251" i="20"/>
  <c r="L247" i="20"/>
  <c r="L246" i="20"/>
  <c r="L245" i="20"/>
  <c r="L244" i="20"/>
  <c r="L243" i="20"/>
  <c r="L242" i="20"/>
  <c r="L241" i="20"/>
  <c r="L240" i="20"/>
  <c r="L233" i="20"/>
  <c r="L309" i="20"/>
  <c r="L295" i="20"/>
  <c r="L248" i="20"/>
  <c r="L234" i="20"/>
  <c r="E134" i="20"/>
  <c r="E165" i="20" s="1"/>
  <c r="C4" i="24" s="1"/>
  <c r="E279" i="20"/>
  <c r="E265" i="20"/>
  <c r="E280" i="20"/>
  <c r="E266" i="20"/>
  <c r="E281" i="20"/>
  <c r="E267" i="20"/>
  <c r="E282" i="20"/>
  <c r="E278" i="20"/>
  <c r="E277" i="20"/>
  <c r="E276" i="20"/>
  <c r="E275" i="20"/>
  <c r="E274" i="20"/>
  <c r="E273" i="20"/>
  <c r="E272" i="20"/>
  <c r="E271" i="20"/>
  <c r="E268" i="20"/>
  <c r="E264" i="20"/>
  <c r="E263" i="20"/>
  <c r="E262" i="20"/>
  <c r="E261" i="20"/>
  <c r="E260" i="20"/>
  <c r="E259" i="20"/>
  <c r="E258" i="20"/>
  <c r="E257" i="20"/>
  <c r="E216" i="20"/>
  <c r="E202" i="20"/>
  <c r="E217" i="20"/>
  <c r="E203" i="20"/>
  <c r="E218" i="20"/>
  <c r="E204" i="20"/>
  <c r="E200" i="20"/>
  <c r="E199" i="20"/>
  <c r="E198" i="20"/>
  <c r="E197" i="20"/>
  <c r="E196" i="20"/>
  <c r="E195" i="20"/>
  <c r="E194" i="20"/>
  <c r="E193" i="20"/>
  <c r="E219" i="20"/>
  <c r="E215" i="20"/>
  <c r="E214" i="20"/>
  <c r="E213" i="20"/>
  <c r="E212" i="20"/>
  <c r="E211" i="20"/>
  <c r="E210" i="20"/>
  <c r="E209" i="20"/>
  <c r="E208" i="20"/>
  <c r="E201" i="20"/>
  <c r="H153" i="20"/>
  <c r="H184" i="20" s="1"/>
  <c r="F21" i="24" s="1"/>
  <c r="H310" i="20"/>
  <c r="H296" i="20"/>
  <c r="H249" i="20"/>
  <c r="H235" i="20"/>
  <c r="H311" i="20"/>
  <c r="H297" i="20"/>
  <c r="H250" i="20"/>
  <c r="H236" i="20"/>
  <c r="H232" i="20"/>
  <c r="H231" i="20"/>
  <c r="H230" i="20"/>
  <c r="H229" i="20"/>
  <c r="H228" i="20"/>
  <c r="H227" i="20"/>
  <c r="H226" i="20"/>
  <c r="H225" i="20"/>
  <c r="H312" i="20"/>
  <c r="H308" i="20"/>
  <c r="H307" i="20"/>
  <c r="H306" i="20"/>
  <c r="H305" i="20"/>
  <c r="H304" i="20"/>
  <c r="H303" i="20"/>
  <c r="H302" i="20"/>
  <c r="H301" i="20"/>
  <c r="H298" i="20"/>
  <c r="H294" i="20"/>
  <c r="H293" i="20"/>
  <c r="H292" i="20"/>
  <c r="H291" i="20"/>
  <c r="H290" i="20"/>
  <c r="H289" i="20"/>
  <c r="H288" i="20"/>
  <c r="H287" i="20"/>
  <c r="H251" i="20"/>
  <c r="H247" i="20"/>
  <c r="H246" i="20"/>
  <c r="H245" i="20"/>
  <c r="H244" i="20"/>
  <c r="H243" i="20"/>
  <c r="H242" i="20"/>
  <c r="H241" i="20"/>
  <c r="H240" i="20"/>
  <c r="H233" i="20"/>
  <c r="H309" i="20"/>
  <c r="H295" i="20"/>
  <c r="H248" i="20"/>
  <c r="H234" i="20"/>
  <c r="G153" i="20"/>
  <c r="G184" i="20" s="1"/>
  <c r="E21" i="24" s="1"/>
  <c r="G311" i="20"/>
  <c r="G297" i="20"/>
  <c r="G250" i="20"/>
  <c r="G236" i="20"/>
  <c r="G232" i="20"/>
  <c r="G231" i="20"/>
  <c r="G230" i="20"/>
  <c r="G229" i="20"/>
  <c r="G228" i="20"/>
  <c r="G227" i="20"/>
  <c r="G226" i="20"/>
  <c r="G225" i="20"/>
  <c r="G312" i="20"/>
  <c r="G308" i="20"/>
  <c r="G307" i="20"/>
  <c r="G306" i="20"/>
  <c r="G305" i="20"/>
  <c r="G304" i="20"/>
  <c r="G303" i="20"/>
  <c r="G302" i="20"/>
  <c r="G301" i="20"/>
  <c r="G298" i="20"/>
  <c r="G294" i="20"/>
  <c r="G293" i="20"/>
  <c r="G292" i="20"/>
  <c r="G291" i="20"/>
  <c r="G290" i="20"/>
  <c r="G289" i="20"/>
  <c r="G288" i="20"/>
  <c r="G287" i="20"/>
  <c r="G251" i="20"/>
  <c r="G247" i="20"/>
  <c r="G246" i="20"/>
  <c r="G245" i="20"/>
  <c r="G244" i="20"/>
  <c r="G243" i="20"/>
  <c r="G242" i="20"/>
  <c r="G241" i="20"/>
  <c r="G240" i="20"/>
  <c r="G233" i="20"/>
  <c r="G309" i="20"/>
  <c r="G295" i="20"/>
  <c r="G248" i="20"/>
  <c r="G234" i="20"/>
  <c r="G310" i="20"/>
  <c r="G296" i="20"/>
  <c r="G249" i="20"/>
  <c r="G235" i="20"/>
  <c r="D166" i="20"/>
  <c r="B5" i="24" s="1"/>
  <c r="D205" i="20"/>
  <c r="K149" i="20"/>
  <c r="K180" i="20" s="1"/>
  <c r="I17" i="24" s="1"/>
  <c r="K311" i="20"/>
  <c r="K297" i="20"/>
  <c r="K250" i="20"/>
  <c r="K236" i="20"/>
  <c r="K232" i="20"/>
  <c r="K231" i="20"/>
  <c r="K230" i="20"/>
  <c r="K229" i="20"/>
  <c r="K228" i="20"/>
  <c r="K227" i="20"/>
  <c r="K226" i="20"/>
  <c r="K225" i="20"/>
  <c r="K312" i="20"/>
  <c r="K308" i="20"/>
  <c r="K307" i="20"/>
  <c r="K306" i="20"/>
  <c r="K305" i="20"/>
  <c r="K304" i="20"/>
  <c r="K303" i="20"/>
  <c r="K302" i="20"/>
  <c r="K301" i="20"/>
  <c r="K298" i="20"/>
  <c r="K294" i="20"/>
  <c r="K293" i="20"/>
  <c r="K292" i="20"/>
  <c r="K291" i="20"/>
  <c r="K290" i="20"/>
  <c r="K289" i="20"/>
  <c r="K288" i="20"/>
  <c r="K287" i="20"/>
  <c r="K251" i="20"/>
  <c r="K247" i="20"/>
  <c r="K246" i="20"/>
  <c r="K245" i="20"/>
  <c r="K244" i="20"/>
  <c r="K243" i="20"/>
  <c r="K242" i="20"/>
  <c r="K241" i="20"/>
  <c r="K240" i="20"/>
  <c r="K233" i="20"/>
  <c r="K309" i="20"/>
  <c r="K295" i="20"/>
  <c r="K248" i="20"/>
  <c r="K234" i="20"/>
  <c r="K310" i="20"/>
  <c r="K296" i="20"/>
  <c r="K249" i="20"/>
  <c r="K235" i="20"/>
  <c r="D206" i="20"/>
  <c r="D171" i="20"/>
  <c r="D313" i="20"/>
  <c r="M279" i="20"/>
  <c r="M265" i="20"/>
  <c r="M280" i="20"/>
  <c r="M266" i="20"/>
  <c r="M281" i="20"/>
  <c r="M267" i="20"/>
  <c r="M282" i="20"/>
  <c r="M278" i="20"/>
  <c r="M277" i="20"/>
  <c r="M276" i="20"/>
  <c r="M275" i="20"/>
  <c r="M274" i="20"/>
  <c r="M273" i="20"/>
  <c r="M272" i="20"/>
  <c r="M271" i="20"/>
  <c r="M268" i="20"/>
  <c r="M264" i="20"/>
  <c r="M263" i="20"/>
  <c r="M262" i="20"/>
  <c r="M261" i="20"/>
  <c r="M260" i="20"/>
  <c r="M259" i="20"/>
  <c r="M258" i="20"/>
  <c r="M257" i="20"/>
  <c r="M216" i="20"/>
  <c r="M202" i="20"/>
  <c r="M217" i="20"/>
  <c r="M203" i="20"/>
  <c r="M218" i="20"/>
  <c r="M204" i="20"/>
  <c r="M200" i="20"/>
  <c r="M199" i="20"/>
  <c r="M198" i="20"/>
  <c r="M197" i="20"/>
  <c r="M196" i="20"/>
  <c r="M195" i="20"/>
  <c r="M194" i="20"/>
  <c r="M193" i="20"/>
  <c r="M219" i="20"/>
  <c r="M215" i="20"/>
  <c r="M214" i="20"/>
  <c r="M213" i="20"/>
  <c r="M212" i="20"/>
  <c r="M211" i="20"/>
  <c r="M210" i="20"/>
  <c r="M209" i="20"/>
  <c r="M208" i="20"/>
  <c r="M201" i="20"/>
  <c r="D181" i="20"/>
  <c r="B18" i="24" s="1"/>
  <c r="D237" i="20"/>
  <c r="N312" i="20"/>
  <c r="N308" i="20"/>
  <c r="N307" i="20"/>
  <c r="N306" i="20"/>
  <c r="N305" i="20"/>
  <c r="N304" i="20"/>
  <c r="N303" i="20"/>
  <c r="N302" i="20"/>
  <c r="N301" i="20"/>
  <c r="N298" i="20"/>
  <c r="N294" i="20"/>
  <c r="N293" i="20"/>
  <c r="N292" i="20"/>
  <c r="N291" i="20"/>
  <c r="N290" i="20"/>
  <c r="N289" i="20"/>
  <c r="N288" i="20"/>
  <c r="N287" i="20"/>
  <c r="N251" i="20"/>
  <c r="N247" i="20"/>
  <c r="N246" i="20"/>
  <c r="N245" i="20"/>
  <c r="N244" i="20"/>
  <c r="N243" i="20"/>
  <c r="N242" i="20"/>
  <c r="N241" i="20"/>
  <c r="N240" i="20"/>
  <c r="N233" i="20"/>
  <c r="N309" i="20"/>
  <c r="N295" i="20"/>
  <c r="N248" i="20"/>
  <c r="N234" i="20"/>
  <c r="N310" i="20"/>
  <c r="N296" i="20"/>
  <c r="N249" i="20"/>
  <c r="N235" i="20"/>
  <c r="N311" i="20"/>
  <c r="N297" i="20"/>
  <c r="N250" i="20"/>
  <c r="N236" i="20"/>
  <c r="N232" i="20"/>
  <c r="N231" i="20"/>
  <c r="N230" i="20"/>
  <c r="N229" i="20"/>
  <c r="N228" i="20"/>
  <c r="N227" i="20"/>
  <c r="N226" i="20"/>
  <c r="N225" i="20"/>
  <c r="I139" i="20"/>
  <c r="I170" i="20" s="1"/>
  <c r="I279" i="20"/>
  <c r="I265" i="20"/>
  <c r="I280" i="20"/>
  <c r="I266" i="20"/>
  <c r="I281" i="20"/>
  <c r="I267" i="20"/>
  <c r="I282" i="20"/>
  <c r="I278" i="20"/>
  <c r="I277" i="20"/>
  <c r="I276" i="20"/>
  <c r="I275" i="20"/>
  <c r="I274" i="20"/>
  <c r="I273" i="20"/>
  <c r="I272" i="20"/>
  <c r="I271" i="20"/>
  <c r="I268" i="20"/>
  <c r="I264" i="20"/>
  <c r="I263" i="20"/>
  <c r="I262" i="20"/>
  <c r="I261" i="20"/>
  <c r="I260" i="20"/>
  <c r="I259" i="20"/>
  <c r="I258" i="20"/>
  <c r="I257" i="20"/>
  <c r="I216" i="20"/>
  <c r="I202" i="20"/>
  <c r="I217" i="20"/>
  <c r="I203" i="20"/>
  <c r="I218" i="20"/>
  <c r="I204" i="20"/>
  <c r="I200" i="20"/>
  <c r="I199" i="20"/>
  <c r="I198" i="20"/>
  <c r="I197" i="20"/>
  <c r="I196" i="20"/>
  <c r="I195" i="20"/>
  <c r="I194" i="20"/>
  <c r="I193" i="20"/>
  <c r="I219" i="20"/>
  <c r="I215" i="20"/>
  <c r="I214" i="20"/>
  <c r="I213" i="20"/>
  <c r="I212" i="20"/>
  <c r="I211" i="20"/>
  <c r="I210" i="20"/>
  <c r="I209" i="20"/>
  <c r="I208" i="20"/>
  <c r="I201" i="20"/>
  <c r="F149" i="20"/>
  <c r="F180" i="20" s="1"/>
  <c r="D17" i="24" s="1"/>
  <c r="F312" i="20"/>
  <c r="F308" i="20"/>
  <c r="F307" i="20"/>
  <c r="F306" i="20"/>
  <c r="F305" i="20"/>
  <c r="F304" i="20"/>
  <c r="F303" i="20"/>
  <c r="F302" i="20"/>
  <c r="F301" i="20"/>
  <c r="F298" i="20"/>
  <c r="F294" i="20"/>
  <c r="F293" i="20"/>
  <c r="F292" i="20"/>
  <c r="F291" i="20"/>
  <c r="F290" i="20"/>
  <c r="F289" i="20"/>
  <c r="F288" i="20"/>
  <c r="F287" i="20"/>
  <c r="F251" i="20"/>
  <c r="F247" i="20"/>
  <c r="F246" i="20"/>
  <c r="F245" i="20"/>
  <c r="F244" i="20"/>
  <c r="F243" i="20"/>
  <c r="F242" i="20"/>
  <c r="F241" i="20"/>
  <c r="F240" i="20"/>
  <c r="F233" i="20"/>
  <c r="F309" i="20"/>
  <c r="F295" i="20"/>
  <c r="F248" i="20"/>
  <c r="F234" i="20"/>
  <c r="F310" i="20"/>
  <c r="F296" i="20"/>
  <c r="F249" i="20"/>
  <c r="F235" i="20"/>
  <c r="F311" i="20"/>
  <c r="F297" i="20"/>
  <c r="F250" i="20"/>
  <c r="F236" i="20"/>
  <c r="F232" i="20"/>
  <c r="F231" i="20"/>
  <c r="F230" i="20"/>
  <c r="F229" i="20"/>
  <c r="F228" i="20"/>
  <c r="F227" i="20"/>
  <c r="F226" i="20"/>
  <c r="F225" i="20"/>
  <c r="F138" i="20"/>
  <c r="F169" i="20" s="1"/>
  <c r="D8" i="24" s="1"/>
  <c r="F282" i="20"/>
  <c r="F278" i="20"/>
  <c r="F277" i="20"/>
  <c r="F276" i="20"/>
  <c r="F275" i="20"/>
  <c r="F274" i="20"/>
  <c r="F273" i="20"/>
  <c r="F272" i="20"/>
  <c r="F271" i="20"/>
  <c r="F268" i="20"/>
  <c r="F264" i="20"/>
  <c r="F263" i="20"/>
  <c r="F262" i="20"/>
  <c r="F261" i="20"/>
  <c r="F260" i="20"/>
  <c r="F259" i="20"/>
  <c r="F258" i="20"/>
  <c r="F257" i="20"/>
  <c r="F279" i="20"/>
  <c r="F265" i="20"/>
  <c r="F280" i="20"/>
  <c r="F266" i="20"/>
  <c r="F281" i="20"/>
  <c r="F267" i="20"/>
  <c r="F219" i="20"/>
  <c r="F215" i="20"/>
  <c r="F214" i="20"/>
  <c r="F213" i="20"/>
  <c r="F212" i="20"/>
  <c r="F211" i="20"/>
  <c r="F210" i="20"/>
  <c r="F209" i="20"/>
  <c r="F208" i="20"/>
  <c r="F201" i="20"/>
  <c r="F216" i="20"/>
  <c r="F202" i="20"/>
  <c r="F217" i="20"/>
  <c r="F203" i="20"/>
  <c r="F218" i="20"/>
  <c r="F204" i="20"/>
  <c r="F200" i="20"/>
  <c r="F199" i="20"/>
  <c r="F198" i="20"/>
  <c r="F197" i="20"/>
  <c r="F196" i="20"/>
  <c r="F195" i="20"/>
  <c r="F194" i="20"/>
  <c r="F193" i="20"/>
  <c r="G142" i="20"/>
  <c r="G281" i="20"/>
  <c r="G267" i="20"/>
  <c r="G282" i="20"/>
  <c r="G278" i="20"/>
  <c r="G277" i="20"/>
  <c r="G276" i="20"/>
  <c r="G275" i="20"/>
  <c r="G274" i="20"/>
  <c r="G273" i="20"/>
  <c r="G272" i="20"/>
  <c r="G271" i="20"/>
  <c r="G268" i="20"/>
  <c r="G264" i="20"/>
  <c r="G263" i="20"/>
  <c r="G262" i="20"/>
  <c r="G261" i="20"/>
  <c r="G260" i="20"/>
  <c r="G259" i="20"/>
  <c r="G258" i="20"/>
  <c r="G257" i="20"/>
  <c r="G279" i="20"/>
  <c r="G265" i="20"/>
  <c r="G280" i="20"/>
  <c r="G266" i="20"/>
  <c r="G218" i="20"/>
  <c r="G204" i="20"/>
  <c r="G200" i="20"/>
  <c r="G199" i="20"/>
  <c r="G198" i="20"/>
  <c r="G197" i="20"/>
  <c r="G196" i="20"/>
  <c r="G195" i="20"/>
  <c r="G194" i="20"/>
  <c r="G193" i="20"/>
  <c r="G219" i="20"/>
  <c r="G215" i="20"/>
  <c r="G214" i="20"/>
  <c r="G213" i="20"/>
  <c r="G212" i="20"/>
  <c r="G211" i="20"/>
  <c r="G210" i="20"/>
  <c r="G209" i="20"/>
  <c r="G208" i="20"/>
  <c r="G201" i="20"/>
  <c r="G216" i="20"/>
  <c r="G202" i="20"/>
  <c r="G217" i="20"/>
  <c r="G203" i="20"/>
  <c r="E150" i="20"/>
  <c r="E309" i="20"/>
  <c r="E295" i="20"/>
  <c r="E248" i="20"/>
  <c r="E234" i="20"/>
  <c r="E310" i="20"/>
  <c r="E296" i="20"/>
  <c r="E249" i="20"/>
  <c r="E235" i="20"/>
  <c r="E311" i="20"/>
  <c r="E297" i="20"/>
  <c r="E250" i="20"/>
  <c r="E236" i="20"/>
  <c r="E232" i="20"/>
  <c r="E231" i="20"/>
  <c r="E230" i="20"/>
  <c r="E229" i="20"/>
  <c r="E228" i="20"/>
  <c r="E227" i="20"/>
  <c r="E226" i="20"/>
  <c r="E312" i="20"/>
  <c r="E308" i="20"/>
  <c r="E307" i="20"/>
  <c r="E306" i="20"/>
  <c r="E305" i="20"/>
  <c r="E304" i="20"/>
  <c r="E303" i="20"/>
  <c r="E302" i="20"/>
  <c r="E301" i="20"/>
  <c r="E298" i="20"/>
  <c r="E294" i="20"/>
  <c r="E293" i="20"/>
  <c r="E292" i="20"/>
  <c r="E291" i="20"/>
  <c r="E290" i="20"/>
  <c r="E289" i="20"/>
  <c r="E288" i="20"/>
  <c r="E287" i="20"/>
  <c r="E251" i="20"/>
  <c r="E247" i="20"/>
  <c r="E246" i="20"/>
  <c r="E245" i="20"/>
  <c r="E244" i="20"/>
  <c r="E243" i="20"/>
  <c r="E242" i="20"/>
  <c r="E241" i="20"/>
  <c r="E240" i="20"/>
  <c r="E233" i="20"/>
  <c r="E225" i="20"/>
  <c r="D221" i="20"/>
  <c r="D283" i="20"/>
  <c r="D299" i="20"/>
  <c r="D180" i="20"/>
  <c r="O281" i="20"/>
  <c r="O267" i="20"/>
  <c r="O282" i="20"/>
  <c r="O278" i="20"/>
  <c r="O277" i="20"/>
  <c r="O276" i="20"/>
  <c r="O275" i="20"/>
  <c r="O274" i="20"/>
  <c r="O273" i="20"/>
  <c r="O272" i="20"/>
  <c r="O271" i="20"/>
  <c r="O268" i="20"/>
  <c r="O264" i="20"/>
  <c r="O263" i="20"/>
  <c r="O262" i="20"/>
  <c r="O261" i="20"/>
  <c r="O260" i="20"/>
  <c r="O259" i="20"/>
  <c r="O258" i="20"/>
  <c r="O257" i="20"/>
  <c r="O279" i="20"/>
  <c r="O265" i="20"/>
  <c r="O280" i="20"/>
  <c r="O266" i="20"/>
  <c r="O218" i="20"/>
  <c r="O204" i="20"/>
  <c r="O200" i="20"/>
  <c r="O199" i="20"/>
  <c r="O198" i="20"/>
  <c r="O197" i="20"/>
  <c r="O196" i="20"/>
  <c r="O195" i="20"/>
  <c r="O194" i="20"/>
  <c r="O193" i="20"/>
  <c r="O219" i="20"/>
  <c r="O215" i="20"/>
  <c r="O214" i="20"/>
  <c r="O213" i="20"/>
  <c r="O212" i="20"/>
  <c r="O211" i="20"/>
  <c r="O210" i="20"/>
  <c r="O209" i="20"/>
  <c r="O208" i="20"/>
  <c r="O201" i="20"/>
  <c r="O216" i="20"/>
  <c r="O202" i="20"/>
  <c r="O217" i="20"/>
  <c r="O203" i="20"/>
  <c r="D186" i="20"/>
  <c r="J154" i="20"/>
  <c r="J185" i="20" s="1"/>
  <c r="J312" i="20"/>
  <c r="J308" i="20"/>
  <c r="J307" i="20"/>
  <c r="J306" i="20"/>
  <c r="J305" i="20"/>
  <c r="J304" i="20"/>
  <c r="J303" i="20"/>
  <c r="J302" i="20"/>
  <c r="J301" i="20"/>
  <c r="J298" i="20"/>
  <c r="J294" i="20"/>
  <c r="J293" i="20"/>
  <c r="J292" i="20"/>
  <c r="J291" i="20"/>
  <c r="J290" i="20"/>
  <c r="J289" i="20"/>
  <c r="J288" i="20"/>
  <c r="J287" i="20"/>
  <c r="J251" i="20"/>
  <c r="J247" i="20"/>
  <c r="J246" i="20"/>
  <c r="J245" i="20"/>
  <c r="J244" i="20"/>
  <c r="J243" i="20"/>
  <c r="J242" i="20"/>
  <c r="J241" i="20"/>
  <c r="J240" i="20"/>
  <c r="J233" i="20"/>
  <c r="J309" i="20"/>
  <c r="J295" i="20"/>
  <c r="J248" i="20"/>
  <c r="J234" i="20"/>
  <c r="J310" i="20"/>
  <c r="J296" i="20"/>
  <c r="J249" i="20"/>
  <c r="J235" i="20"/>
  <c r="J311" i="20"/>
  <c r="J297" i="20"/>
  <c r="J250" i="20"/>
  <c r="J236" i="20"/>
  <c r="J232" i="20"/>
  <c r="J231" i="20"/>
  <c r="J230" i="20"/>
  <c r="J229" i="20"/>
  <c r="J228" i="20"/>
  <c r="J227" i="20"/>
  <c r="J226" i="20"/>
  <c r="J225" i="20"/>
  <c r="O151" i="20"/>
  <c r="O182" i="20" s="1"/>
  <c r="M19" i="24" s="1"/>
  <c r="O311" i="20"/>
  <c r="O297" i="20"/>
  <c r="O250" i="20"/>
  <c r="O236" i="20"/>
  <c r="O232" i="20"/>
  <c r="O231" i="20"/>
  <c r="O230" i="20"/>
  <c r="O229" i="20"/>
  <c r="O228" i="20"/>
  <c r="O227" i="20"/>
  <c r="O226" i="20"/>
  <c r="O225" i="20"/>
  <c r="O312" i="20"/>
  <c r="O308" i="20"/>
  <c r="O307" i="20"/>
  <c r="O306" i="20"/>
  <c r="O305" i="20"/>
  <c r="O304" i="20"/>
  <c r="O303" i="20"/>
  <c r="O302" i="20"/>
  <c r="O301" i="20"/>
  <c r="O298" i="20"/>
  <c r="O294" i="20"/>
  <c r="O293" i="20"/>
  <c r="O292" i="20"/>
  <c r="O291" i="20"/>
  <c r="O290" i="20"/>
  <c r="O289" i="20"/>
  <c r="O288" i="20"/>
  <c r="O287" i="20"/>
  <c r="O251" i="20"/>
  <c r="O247" i="20"/>
  <c r="O246" i="20"/>
  <c r="O245" i="20"/>
  <c r="O244" i="20"/>
  <c r="O243" i="20"/>
  <c r="O242" i="20"/>
  <c r="O241" i="20"/>
  <c r="O240" i="20"/>
  <c r="O233" i="20"/>
  <c r="O309" i="20"/>
  <c r="O295" i="20"/>
  <c r="O248" i="20"/>
  <c r="O234" i="20"/>
  <c r="O310" i="20"/>
  <c r="O296" i="20"/>
  <c r="O249" i="20"/>
  <c r="O235" i="20"/>
  <c r="L141" i="20"/>
  <c r="L172" i="20" s="1"/>
  <c r="J10" i="24" s="1"/>
  <c r="L280" i="20"/>
  <c r="L266" i="20"/>
  <c r="L281" i="20"/>
  <c r="L267" i="20"/>
  <c r="L282" i="20"/>
  <c r="L278" i="20"/>
  <c r="L277" i="20"/>
  <c r="L276" i="20"/>
  <c r="L275" i="20"/>
  <c r="L274" i="20"/>
  <c r="L273" i="20"/>
  <c r="L272" i="20"/>
  <c r="L271" i="20"/>
  <c r="L268" i="20"/>
  <c r="L264" i="20"/>
  <c r="L263" i="20"/>
  <c r="L262" i="20"/>
  <c r="L261" i="20"/>
  <c r="L260" i="20"/>
  <c r="L259" i="20"/>
  <c r="L258" i="20"/>
  <c r="L257" i="20"/>
  <c r="L279" i="20"/>
  <c r="L265" i="20"/>
  <c r="L217" i="20"/>
  <c r="L203" i="20"/>
  <c r="L218" i="20"/>
  <c r="L204" i="20"/>
  <c r="L200" i="20"/>
  <c r="L199" i="20"/>
  <c r="L198" i="20"/>
  <c r="L197" i="20"/>
  <c r="L196" i="20"/>
  <c r="L195" i="20"/>
  <c r="L194" i="20"/>
  <c r="L193" i="20"/>
  <c r="L219" i="20"/>
  <c r="L215" i="20"/>
  <c r="L214" i="20"/>
  <c r="L213" i="20"/>
  <c r="L212" i="20"/>
  <c r="L211" i="20"/>
  <c r="L210" i="20"/>
  <c r="L209" i="20"/>
  <c r="L208" i="20"/>
  <c r="L201" i="20"/>
  <c r="L216" i="20"/>
  <c r="L202" i="20"/>
  <c r="D269" i="20"/>
  <c r="D253" i="20"/>
  <c r="D187" i="20"/>
  <c r="D179" i="20"/>
  <c r="J282" i="20"/>
  <c r="J278" i="20"/>
  <c r="J277" i="20"/>
  <c r="J276" i="20"/>
  <c r="J275" i="20"/>
  <c r="J274" i="20"/>
  <c r="J273" i="20"/>
  <c r="J272" i="20"/>
  <c r="J271" i="20"/>
  <c r="J268" i="20"/>
  <c r="J264" i="20"/>
  <c r="J263" i="20"/>
  <c r="J262" i="20"/>
  <c r="J261" i="20"/>
  <c r="J260" i="20"/>
  <c r="J259" i="20"/>
  <c r="J258" i="20"/>
  <c r="J257" i="20"/>
  <c r="J279" i="20"/>
  <c r="J265" i="20"/>
  <c r="J280" i="20"/>
  <c r="J266" i="20"/>
  <c r="J281" i="20"/>
  <c r="J267" i="20"/>
  <c r="J219" i="20"/>
  <c r="J215" i="20"/>
  <c r="J214" i="20"/>
  <c r="J213" i="20"/>
  <c r="J212" i="20"/>
  <c r="J211" i="20"/>
  <c r="J210" i="20"/>
  <c r="J209" i="20"/>
  <c r="J208" i="20"/>
  <c r="J201" i="20"/>
  <c r="J216" i="20"/>
  <c r="J202" i="20"/>
  <c r="J217" i="20"/>
  <c r="J203" i="20"/>
  <c r="J218" i="20"/>
  <c r="J204" i="20"/>
  <c r="J200" i="20"/>
  <c r="J199" i="20"/>
  <c r="J198" i="20"/>
  <c r="J197" i="20"/>
  <c r="J196" i="20"/>
  <c r="J195" i="20"/>
  <c r="J194" i="20"/>
  <c r="J193" i="20"/>
  <c r="I151" i="20"/>
  <c r="I182" i="20" s="1"/>
  <c r="G19" i="24" s="1"/>
  <c r="I309" i="20"/>
  <c r="I295" i="20"/>
  <c r="I248" i="20"/>
  <c r="I234" i="20"/>
  <c r="I310" i="20"/>
  <c r="I296" i="20"/>
  <c r="I249" i="20"/>
  <c r="I235" i="20"/>
  <c r="I311" i="20"/>
  <c r="I297" i="20"/>
  <c r="I250" i="20"/>
  <c r="I236" i="20"/>
  <c r="I232" i="20"/>
  <c r="I231" i="20"/>
  <c r="I230" i="20"/>
  <c r="I229" i="20"/>
  <c r="I228" i="20"/>
  <c r="I227" i="20"/>
  <c r="I226" i="20"/>
  <c r="I225" i="20"/>
  <c r="I312" i="20"/>
  <c r="I308" i="20"/>
  <c r="I307" i="20"/>
  <c r="I306" i="20"/>
  <c r="I305" i="20"/>
  <c r="I304" i="20"/>
  <c r="I303" i="20"/>
  <c r="I302" i="20"/>
  <c r="I301" i="20"/>
  <c r="I298" i="20"/>
  <c r="I294" i="20"/>
  <c r="I293" i="20"/>
  <c r="I292" i="20"/>
  <c r="I291" i="20"/>
  <c r="I290" i="20"/>
  <c r="I289" i="20"/>
  <c r="I288" i="20"/>
  <c r="I287" i="20"/>
  <c r="I251" i="20"/>
  <c r="I247" i="20"/>
  <c r="I246" i="20"/>
  <c r="I245" i="20"/>
  <c r="I244" i="20"/>
  <c r="I243" i="20"/>
  <c r="I242" i="20"/>
  <c r="I241" i="20"/>
  <c r="I240" i="20"/>
  <c r="I233" i="20"/>
  <c r="D173" i="20"/>
  <c r="B11" i="24" s="1"/>
  <c r="D220" i="20"/>
  <c r="K136" i="20"/>
  <c r="K167" i="20" s="1"/>
  <c r="I6" i="24" s="1"/>
  <c r="K281" i="20"/>
  <c r="K267" i="20"/>
  <c r="K282" i="20"/>
  <c r="K278" i="20"/>
  <c r="K277" i="20"/>
  <c r="K276" i="20"/>
  <c r="K275" i="20"/>
  <c r="K274" i="20"/>
  <c r="K273" i="20"/>
  <c r="K272" i="20"/>
  <c r="K271" i="20"/>
  <c r="K268" i="20"/>
  <c r="K264" i="20"/>
  <c r="K263" i="20"/>
  <c r="K262" i="20"/>
  <c r="K261" i="20"/>
  <c r="K260" i="20"/>
  <c r="K259" i="20"/>
  <c r="K258" i="20"/>
  <c r="K257" i="20"/>
  <c r="K279" i="20"/>
  <c r="K265" i="20"/>
  <c r="K280" i="20"/>
  <c r="K266" i="20"/>
  <c r="K218" i="20"/>
  <c r="K204" i="20"/>
  <c r="K200" i="20"/>
  <c r="K199" i="20"/>
  <c r="K198" i="20"/>
  <c r="K197" i="20"/>
  <c r="K196" i="20"/>
  <c r="K195" i="20"/>
  <c r="K194" i="20"/>
  <c r="K193" i="20"/>
  <c r="K219" i="20"/>
  <c r="K215" i="20"/>
  <c r="K214" i="20"/>
  <c r="K213" i="20"/>
  <c r="K212" i="20"/>
  <c r="K211" i="20"/>
  <c r="K210" i="20"/>
  <c r="K209" i="20"/>
  <c r="K208" i="20"/>
  <c r="K201" i="20"/>
  <c r="K216" i="20"/>
  <c r="K202" i="20"/>
  <c r="K217" i="20"/>
  <c r="K203" i="20"/>
  <c r="M152" i="20"/>
  <c r="M183" i="20" s="1"/>
  <c r="K20" i="24" s="1"/>
  <c r="M309" i="20"/>
  <c r="M295" i="20"/>
  <c r="M248" i="20"/>
  <c r="M234" i="20"/>
  <c r="M310" i="20"/>
  <c r="M296" i="20"/>
  <c r="M249" i="20"/>
  <c r="M235" i="20"/>
  <c r="M311" i="20"/>
  <c r="M297" i="20"/>
  <c r="M250" i="20"/>
  <c r="M236" i="20"/>
  <c r="M232" i="20"/>
  <c r="M231" i="20"/>
  <c r="M230" i="20"/>
  <c r="M229" i="20"/>
  <c r="M228" i="20"/>
  <c r="M227" i="20"/>
  <c r="M226" i="20"/>
  <c r="M225" i="20"/>
  <c r="M312" i="20"/>
  <c r="M308" i="20"/>
  <c r="M307" i="20"/>
  <c r="M306" i="20"/>
  <c r="M305" i="20"/>
  <c r="M304" i="20"/>
  <c r="M303" i="20"/>
  <c r="M302" i="20"/>
  <c r="M301" i="20"/>
  <c r="M298" i="20"/>
  <c r="M294" i="20"/>
  <c r="M293" i="20"/>
  <c r="M292" i="20"/>
  <c r="M291" i="20"/>
  <c r="M290" i="20"/>
  <c r="M289" i="20"/>
  <c r="M288" i="20"/>
  <c r="M287" i="20"/>
  <c r="M251" i="20"/>
  <c r="M247" i="20"/>
  <c r="M246" i="20"/>
  <c r="M245" i="20"/>
  <c r="M244" i="20"/>
  <c r="M243" i="20"/>
  <c r="M242" i="20"/>
  <c r="M241" i="20"/>
  <c r="M240" i="20"/>
  <c r="M233" i="20"/>
  <c r="D165" i="20"/>
  <c r="D164" i="20"/>
  <c r="D172" i="20"/>
  <c r="D238" i="20"/>
  <c r="E272" i="4"/>
  <c r="E276" i="4"/>
  <c r="E280" i="4"/>
  <c r="E260" i="4"/>
  <c r="E264" i="4"/>
  <c r="E268" i="4"/>
  <c r="E274" i="4"/>
  <c r="E273" i="4"/>
  <c r="E277" i="4"/>
  <c r="E281" i="4"/>
  <c r="E257" i="4"/>
  <c r="E261" i="4"/>
  <c r="E265" i="4"/>
  <c r="E271" i="4"/>
  <c r="E275" i="4"/>
  <c r="E279" i="4"/>
  <c r="E259" i="4"/>
  <c r="E263" i="4"/>
  <c r="E267" i="4"/>
  <c r="E258" i="4"/>
  <c r="E278" i="4"/>
  <c r="E262" i="4"/>
  <c r="E282" i="4"/>
  <c r="E266" i="4"/>
  <c r="K305" i="4"/>
  <c r="K311" i="4"/>
  <c r="K288" i="4"/>
  <c r="K292" i="4"/>
  <c r="K296" i="4"/>
  <c r="K302" i="4"/>
  <c r="K309" i="4"/>
  <c r="K308" i="4"/>
  <c r="K301" i="4"/>
  <c r="K306" i="4"/>
  <c r="K312" i="4"/>
  <c r="K289" i="4"/>
  <c r="K293" i="4"/>
  <c r="K297" i="4"/>
  <c r="K303" i="4"/>
  <c r="K307" i="4"/>
  <c r="K290" i="4"/>
  <c r="K294" i="4"/>
  <c r="K298" i="4"/>
  <c r="K304" i="4"/>
  <c r="K310" i="4"/>
  <c r="K287" i="4"/>
  <c r="K291" i="4"/>
  <c r="K295" i="4"/>
  <c r="D302" i="4"/>
  <c r="D309" i="4"/>
  <c r="D308" i="4"/>
  <c r="D312" i="4"/>
  <c r="D305" i="4"/>
  <c r="D310" i="4"/>
  <c r="D297" i="4"/>
  <c r="D293" i="4"/>
  <c r="D289" i="4"/>
  <c r="D306" i="4"/>
  <c r="D301" i="4"/>
  <c r="D298" i="4"/>
  <c r="D294" i="4"/>
  <c r="D290" i="4"/>
  <c r="D307" i="4"/>
  <c r="D303" i="4"/>
  <c r="D295" i="4"/>
  <c r="D291" i="4"/>
  <c r="D287" i="4"/>
  <c r="D311" i="4"/>
  <c r="D304" i="4"/>
  <c r="D296" i="4"/>
  <c r="D292" i="4"/>
  <c r="D288" i="4"/>
  <c r="I303" i="4"/>
  <c r="I307" i="4"/>
  <c r="I290" i="4"/>
  <c r="I294" i="4"/>
  <c r="I298" i="4"/>
  <c r="I304" i="4"/>
  <c r="I310" i="4"/>
  <c r="I287" i="4"/>
  <c r="I291" i="4"/>
  <c r="I295" i="4"/>
  <c r="I305" i="4"/>
  <c r="I311" i="4"/>
  <c r="I288" i="4"/>
  <c r="I292" i="4"/>
  <c r="I296" i="4"/>
  <c r="I302" i="4"/>
  <c r="I309" i="4"/>
  <c r="I308" i="4"/>
  <c r="I301" i="4"/>
  <c r="I306" i="4"/>
  <c r="I312" i="4"/>
  <c r="I289" i="4"/>
  <c r="I293" i="4"/>
  <c r="I297" i="4"/>
  <c r="N304" i="4"/>
  <c r="N310" i="4"/>
  <c r="N287" i="4"/>
  <c r="N291" i="4"/>
  <c r="N295" i="4"/>
  <c r="N305" i="4"/>
  <c r="N311" i="4"/>
  <c r="N288" i="4"/>
  <c r="N292" i="4"/>
  <c r="N296" i="4"/>
  <c r="N302" i="4"/>
  <c r="N309" i="4"/>
  <c r="N308" i="4"/>
  <c r="N301" i="4"/>
  <c r="N306" i="4"/>
  <c r="N312" i="4"/>
  <c r="N289" i="4"/>
  <c r="N293" i="4"/>
  <c r="N297" i="4"/>
  <c r="N303" i="4"/>
  <c r="N307" i="4"/>
  <c r="N290" i="4"/>
  <c r="N294" i="4"/>
  <c r="N298" i="4"/>
  <c r="N273" i="4"/>
  <c r="N277" i="4"/>
  <c r="N281" i="4"/>
  <c r="N257" i="4"/>
  <c r="N261" i="4"/>
  <c r="N265" i="4"/>
  <c r="N274" i="4"/>
  <c r="N278" i="4"/>
  <c r="N282" i="4"/>
  <c r="N258" i="4"/>
  <c r="N262" i="4"/>
  <c r="N266" i="4"/>
  <c r="N271" i="4"/>
  <c r="N272" i="4"/>
  <c r="N276" i="4"/>
  <c r="N280" i="4"/>
  <c r="N260" i="4"/>
  <c r="N264" i="4"/>
  <c r="N268" i="4"/>
  <c r="N275" i="4"/>
  <c r="N259" i="4"/>
  <c r="N279" i="4"/>
  <c r="N263" i="4"/>
  <c r="N267" i="4"/>
  <c r="O313" i="4"/>
  <c r="O314" i="4" s="1"/>
  <c r="M272" i="4"/>
  <c r="M276" i="4"/>
  <c r="M280" i="4"/>
  <c r="M260" i="4"/>
  <c r="M264" i="4"/>
  <c r="M268" i="4"/>
  <c r="M273" i="4"/>
  <c r="M277" i="4"/>
  <c r="M281" i="4"/>
  <c r="M257" i="4"/>
  <c r="M261" i="4"/>
  <c r="M265" i="4"/>
  <c r="M271" i="4"/>
  <c r="M275" i="4"/>
  <c r="M279" i="4"/>
  <c r="M259" i="4"/>
  <c r="M263" i="4"/>
  <c r="M267" i="4"/>
  <c r="M278" i="4"/>
  <c r="M262" i="4"/>
  <c r="M282" i="4"/>
  <c r="M266" i="4"/>
  <c r="M274" i="4"/>
  <c r="M258" i="4"/>
  <c r="J273" i="4"/>
  <c r="J277" i="4"/>
  <c r="J281" i="4"/>
  <c r="J257" i="4"/>
  <c r="J261" i="4"/>
  <c r="J265" i="4"/>
  <c r="J274" i="4"/>
  <c r="J278" i="4"/>
  <c r="J282" i="4"/>
  <c r="J258" i="4"/>
  <c r="J262" i="4"/>
  <c r="J266" i="4"/>
  <c r="J271" i="4"/>
  <c r="J272" i="4"/>
  <c r="J276" i="4"/>
  <c r="J280" i="4"/>
  <c r="J260" i="4"/>
  <c r="J264" i="4"/>
  <c r="J268" i="4"/>
  <c r="J275" i="4"/>
  <c r="J259" i="4"/>
  <c r="J279" i="4"/>
  <c r="J263" i="4"/>
  <c r="J267" i="4"/>
  <c r="D279" i="4"/>
  <c r="D275" i="4"/>
  <c r="D271" i="4"/>
  <c r="D267" i="4"/>
  <c r="D263" i="4"/>
  <c r="D259" i="4"/>
  <c r="D280" i="4"/>
  <c r="D276" i="4"/>
  <c r="D272" i="4"/>
  <c r="D268" i="4"/>
  <c r="D264" i="4"/>
  <c r="D260" i="4"/>
  <c r="D282" i="4"/>
  <c r="D278" i="4"/>
  <c r="D274" i="4"/>
  <c r="D266" i="4"/>
  <c r="D262" i="4"/>
  <c r="D258" i="4"/>
  <c r="D273" i="4"/>
  <c r="D265" i="4"/>
  <c r="D277" i="4"/>
  <c r="D281" i="4"/>
  <c r="D257" i="4"/>
  <c r="D261" i="4"/>
  <c r="E303" i="4"/>
  <c r="E307" i="4"/>
  <c r="E290" i="4"/>
  <c r="E294" i="4"/>
  <c r="E298" i="4"/>
  <c r="E304" i="4"/>
  <c r="E310" i="4"/>
  <c r="E287" i="4"/>
  <c r="E291" i="4"/>
  <c r="E295" i="4"/>
  <c r="E305" i="4"/>
  <c r="E311" i="4"/>
  <c r="E288" i="4"/>
  <c r="E292" i="4"/>
  <c r="E296" i="4"/>
  <c r="E302" i="4"/>
  <c r="E309" i="4"/>
  <c r="E308" i="4"/>
  <c r="E301" i="4"/>
  <c r="E306" i="4"/>
  <c r="E312" i="4"/>
  <c r="E289" i="4"/>
  <c r="E293" i="4"/>
  <c r="E297" i="4"/>
  <c r="H302" i="4"/>
  <c r="H309" i="4"/>
  <c r="H308" i="4"/>
  <c r="H301" i="4"/>
  <c r="H306" i="4"/>
  <c r="H312" i="4"/>
  <c r="H289" i="4"/>
  <c r="H293" i="4"/>
  <c r="H297" i="4"/>
  <c r="H303" i="4"/>
  <c r="H307" i="4"/>
  <c r="H290" i="4"/>
  <c r="H294" i="4"/>
  <c r="H298" i="4"/>
  <c r="H295" i="4"/>
  <c r="H304" i="4"/>
  <c r="H310" i="4"/>
  <c r="H287" i="4"/>
  <c r="H291" i="4"/>
  <c r="H305" i="4"/>
  <c r="H311" i="4"/>
  <c r="H288" i="4"/>
  <c r="H292" i="4"/>
  <c r="H296" i="4"/>
  <c r="L271" i="4"/>
  <c r="L275" i="4"/>
  <c r="L279" i="4"/>
  <c r="L259" i="4"/>
  <c r="L263" i="4"/>
  <c r="L267" i="4"/>
  <c r="L272" i="4"/>
  <c r="L276" i="4"/>
  <c r="L280" i="4"/>
  <c r="L260" i="4"/>
  <c r="L264" i="4"/>
  <c r="L268" i="4"/>
  <c r="L273" i="4"/>
  <c r="L274" i="4"/>
  <c r="L278" i="4"/>
  <c r="L282" i="4"/>
  <c r="L258" i="4"/>
  <c r="L262" i="4"/>
  <c r="L266" i="4"/>
  <c r="L281" i="4"/>
  <c r="L265" i="4"/>
  <c r="L257" i="4"/>
  <c r="L277" i="4"/>
  <c r="L261" i="4"/>
  <c r="O299" i="4"/>
  <c r="O300" i="4" s="1"/>
  <c r="I272" i="4"/>
  <c r="I276" i="4"/>
  <c r="I280" i="4"/>
  <c r="I260" i="4"/>
  <c r="I264" i="4"/>
  <c r="I268" i="4"/>
  <c r="I273" i="4"/>
  <c r="I277" i="4"/>
  <c r="I281" i="4"/>
  <c r="I257" i="4"/>
  <c r="I261" i="4"/>
  <c r="I265" i="4"/>
  <c r="I271" i="4"/>
  <c r="I275" i="4"/>
  <c r="I279" i="4"/>
  <c r="I259" i="4"/>
  <c r="I263" i="4"/>
  <c r="I267" i="4"/>
  <c r="I274" i="4"/>
  <c r="I258" i="4"/>
  <c r="I278" i="4"/>
  <c r="I262" i="4"/>
  <c r="I282" i="4"/>
  <c r="I266" i="4"/>
  <c r="F273" i="4"/>
  <c r="F277" i="4"/>
  <c r="F281" i="4"/>
  <c r="F257" i="4"/>
  <c r="F261" i="4"/>
  <c r="F265" i="4"/>
  <c r="F274" i="4"/>
  <c r="F278" i="4"/>
  <c r="F282" i="4"/>
  <c r="F258" i="4"/>
  <c r="F262" i="4"/>
  <c r="F266" i="4"/>
  <c r="F271" i="4"/>
  <c r="F272" i="4"/>
  <c r="F276" i="4"/>
  <c r="F280" i="4"/>
  <c r="F260" i="4"/>
  <c r="F264" i="4"/>
  <c r="F268" i="4"/>
  <c r="F267" i="4"/>
  <c r="F275" i="4"/>
  <c r="F259" i="4"/>
  <c r="F279" i="4"/>
  <c r="F263" i="4"/>
  <c r="H271" i="4"/>
  <c r="H275" i="4"/>
  <c r="H279" i="4"/>
  <c r="H259" i="4"/>
  <c r="H263" i="4"/>
  <c r="H267" i="4"/>
  <c r="H272" i="4"/>
  <c r="H276" i="4"/>
  <c r="H280" i="4"/>
  <c r="H260" i="4"/>
  <c r="H264" i="4"/>
  <c r="H268" i="4"/>
  <c r="H273" i="4"/>
  <c r="H274" i="4"/>
  <c r="H278" i="4"/>
  <c r="H282" i="4"/>
  <c r="H258" i="4"/>
  <c r="H262" i="4"/>
  <c r="H266" i="4"/>
  <c r="H277" i="4"/>
  <c r="H261" i="4"/>
  <c r="H281" i="4"/>
  <c r="H265" i="4"/>
  <c r="H257" i="4"/>
  <c r="G305" i="4"/>
  <c r="G311" i="4"/>
  <c r="G288" i="4"/>
  <c r="G292" i="4"/>
  <c r="G296" i="4"/>
  <c r="G302" i="4"/>
  <c r="G309" i="4"/>
  <c r="G308" i="4"/>
  <c r="G301" i="4"/>
  <c r="G306" i="4"/>
  <c r="G312" i="4"/>
  <c r="G289" i="4"/>
  <c r="G293" i="4"/>
  <c r="G297" i="4"/>
  <c r="G303" i="4"/>
  <c r="G307" i="4"/>
  <c r="G290" i="4"/>
  <c r="G294" i="4"/>
  <c r="G298" i="4"/>
  <c r="G304" i="4"/>
  <c r="G310" i="4"/>
  <c r="G287" i="4"/>
  <c r="G291" i="4"/>
  <c r="G295" i="4"/>
  <c r="O274" i="4"/>
  <c r="O278" i="4"/>
  <c r="O282" i="4"/>
  <c r="O258" i="4"/>
  <c r="O262" i="4"/>
  <c r="O266" i="4"/>
  <c r="O272" i="4"/>
  <c r="O271" i="4"/>
  <c r="O275" i="4"/>
  <c r="O279" i="4"/>
  <c r="O259" i="4"/>
  <c r="O263" i="4"/>
  <c r="O267" i="4"/>
  <c r="O273" i="4"/>
  <c r="O277" i="4"/>
  <c r="O281" i="4"/>
  <c r="O257" i="4"/>
  <c r="O261" i="4"/>
  <c r="O265" i="4"/>
  <c r="O276" i="4"/>
  <c r="O260" i="4"/>
  <c r="O280" i="4"/>
  <c r="O264" i="4"/>
  <c r="O268" i="4"/>
  <c r="L302" i="4"/>
  <c r="L309" i="4"/>
  <c r="L308" i="4"/>
  <c r="L301" i="4"/>
  <c r="L306" i="4"/>
  <c r="L312" i="4"/>
  <c r="L289" i="4"/>
  <c r="L293" i="4"/>
  <c r="L297" i="4"/>
  <c r="L295" i="4"/>
  <c r="L303" i="4"/>
  <c r="L307" i="4"/>
  <c r="L290" i="4"/>
  <c r="L294" i="4"/>
  <c r="L298" i="4"/>
  <c r="L304" i="4"/>
  <c r="L310" i="4"/>
  <c r="L287" i="4"/>
  <c r="L291" i="4"/>
  <c r="L305" i="4"/>
  <c r="L311" i="4"/>
  <c r="L288" i="4"/>
  <c r="L292" i="4"/>
  <c r="L296" i="4"/>
  <c r="F304" i="4"/>
  <c r="F310" i="4"/>
  <c r="F287" i="4"/>
  <c r="F291" i="4"/>
  <c r="F295" i="4"/>
  <c r="F305" i="4"/>
  <c r="F311" i="4"/>
  <c r="F288" i="4"/>
  <c r="F292" i="4"/>
  <c r="F296" i="4"/>
  <c r="F302" i="4"/>
  <c r="F309" i="4"/>
  <c r="F308" i="4"/>
  <c r="F301" i="4"/>
  <c r="F306" i="4"/>
  <c r="F312" i="4"/>
  <c r="F289" i="4"/>
  <c r="F293" i="4"/>
  <c r="F297" i="4"/>
  <c r="F303" i="4"/>
  <c r="F307" i="4"/>
  <c r="F290" i="4"/>
  <c r="F294" i="4"/>
  <c r="F298" i="4"/>
  <c r="M303" i="4"/>
  <c r="M307" i="4"/>
  <c r="M290" i="4"/>
  <c r="M294" i="4"/>
  <c r="M298" i="4"/>
  <c r="M304" i="4"/>
  <c r="M310" i="4"/>
  <c r="M287" i="4"/>
  <c r="M291" i="4"/>
  <c r="M295" i="4"/>
  <c r="M305" i="4"/>
  <c r="M311" i="4"/>
  <c r="M288" i="4"/>
  <c r="M292" i="4"/>
  <c r="M296" i="4"/>
  <c r="M302" i="4"/>
  <c r="M309" i="4"/>
  <c r="M308" i="4"/>
  <c r="M301" i="4"/>
  <c r="M306" i="4"/>
  <c r="M312" i="4"/>
  <c r="M289" i="4"/>
  <c r="M293" i="4"/>
  <c r="M297" i="4"/>
  <c r="G274" i="4"/>
  <c r="G278" i="4"/>
  <c r="G282" i="4"/>
  <c r="G258" i="4"/>
  <c r="G262" i="4"/>
  <c r="G266" i="4"/>
  <c r="G272" i="4"/>
  <c r="G271" i="4"/>
  <c r="G275" i="4"/>
  <c r="G279" i="4"/>
  <c r="G259" i="4"/>
  <c r="G263" i="4"/>
  <c r="G267" i="4"/>
  <c r="G273" i="4"/>
  <c r="G277" i="4"/>
  <c r="G281" i="4"/>
  <c r="G257" i="4"/>
  <c r="G261" i="4"/>
  <c r="G265" i="4"/>
  <c r="G280" i="4"/>
  <c r="G264" i="4"/>
  <c r="G268" i="4"/>
  <c r="G276" i="4"/>
  <c r="G260" i="4"/>
  <c r="K274" i="4"/>
  <c r="K278" i="4"/>
  <c r="K282" i="4"/>
  <c r="K258" i="4"/>
  <c r="K262" i="4"/>
  <c r="K266" i="4"/>
  <c r="K271" i="4"/>
  <c r="K275" i="4"/>
  <c r="K279" i="4"/>
  <c r="K259" i="4"/>
  <c r="K263" i="4"/>
  <c r="K267" i="4"/>
  <c r="K272" i="4"/>
  <c r="K273" i="4"/>
  <c r="K277" i="4"/>
  <c r="K281" i="4"/>
  <c r="K257" i="4"/>
  <c r="K261" i="4"/>
  <c r="K265" i="4"/>
  <c r="K268" i="4"/>
  <c r="K276" i="4"/>
  <c r="K260" i="4"/>
  <c r="K280" i="4"/>
  <c r="K264" i="4"/>
  <c r="O181" i="4"/>
  <c r="M18" i="25" s="1"/>
  <c r="O237" i="4"/>
  <c r="L173" i="4"/>
  <c r="J11" i="25" s="1"/>
  <c r="L220" i="4"/>
  <c r="L166" i="4"/>
  <c r="J5" i="25" s="1"/>
  <c r="L205" i="4"/>
  <c r="O188" i="4"/>
  <c r="M24" i="25" s="1"/>
  <c r="O252" i="4"/>
  <c r="E209" i="4"/>
  <c r="E213" i="4"/>
  <c r="E217" i="4"/>
  <c r="E202" i="4"/>
  <c r="E210" i="4"/>
  <c r="E214" i="4"/>
  <c r="E218" i="4"/>
  <c r="E203" i="4"/>
  <c r="E211" i="4"/>
  <c r="E215" i="4"/>
  <c r="E219" i="4"/>
  <c r="E204" i="4"/>
  <c r="E208" i="4"/>
  <c r="E212" i="4"/>
  <c r="E216" i="4"/>
  <c r="E201" i="4"/>
  <c r="K156" i="4"/>
  <c r="K187" i="4" s="1"/>
  <c r="I23" i="25" s="1"/>
  <c r="K244" i="4"/>
  <c r="K248" i="4"/>
  <c r="K240" i="4"/>
  <c r="K229" i="4"/>
  <c r="K233" i="4"/>
  <c r="K225" i="4"/>
  <c r="K241" i="4"/>
  <c r="K245" i="4"/>
  <c r="K249" i="4"/>
  <c r="K226" i="4"/>
  <c r="K230" i="4"/>
  <c r="K234" i="4"/>
  <c r="K242" i="4"/>
  <c r="K246" i="4"/>
  <c r="K250" i="4"/>
  <c r="K227" i="4"/>
  <c r="K231" i="4"/>
  <c r="K235" i="4"/>
  <c r="K243" i="4"/>
  <c r="K247" i="4"/>
  <c r="K251" i="4"/>
  <c r="K228" i="4"/>
  <c r="K232" i="4"/>
  <c r="K236" i="4"/>
  <c r="D151" i="4"/>
  <c r="D182" i="4" s="1"/>
  <c r="B19" i="25" s="1"/>
  <c r="D249" i="4"/>
  <c r="D245" i="4"/>
  <c r="D241" i="4"/>
  <c r="D240" i="4"/>
  <c r="D234" i="4"/>
  <c r="D230" i="4"/>
  <c r="D226" i="4"/>
  <c r="D250" i="4"/>
  <c r="D246" i="4"/>
  <c r="D242" i="4"/>
  <c r="D235" i="4"/>
  <c r="D231" i="4"/>
  <c r="D227" i="4"/>
  <c r="D251" i="4"/>
  <c r="D247" i="4"/>
  <c r="D243" i="4"/>
  <c r="D236" i="4"/>
  <c r="D232" i="4"/>
  <c r="D228" i="4"/>
  <c r="D248" i="4"/>
  <c r="D244" i="4"/>
  <c r="D233" i="4"/>
  <c r="D229" i="4"/>
  <c r="D225" i="4"/>
  <c r="I150" i="4"/>
  <c r="I242" i="4"/>
  <c r="I246" i="4"/>
  <c r="I250" i="4"/>
  <c r="I227" i="4"/>
  <c r="I231" i="4"/>
  <c r="I235" i="4"/>
  <c r="I243" i="4"/>
  <c r="I247" i="4"/>
  <c r="I251" i="4"/>
  <c r="I228" i="4"/>
  <c r="I232" i="4"/>
  <c r="I236" i="4"/>
  <c r="I244" i="4"/>
  <c r="I248" i="4"/>
  <c r="I240" i="4"/>
  <c r="I229" i="4"/>
  <c r="I233" i="4"/>
  <c r="I225" i="4"/>
  <c r="I241" i="4"/>
  <c r="I245" i="4"/>
  <c r="I249" i="4"/>
  <c r="I226" i="4"/>
  <c r="I230" i="4"/>
  <c r="I234" i="4"/>
  <c r="N155" i="4"/>
  <c r="N186" i="4" s="1"/>
  <c r="L22" i="25" s="1"/>
  <c r="N243" i="4"/>
  <c r="N247" i="4"/>
  <c r="N251" i="4"/>
  <c r="N228" i="4"/>
  <c r="N232" i="4"/>
  <c r="N236" i="4"/>
  <c r="N244" i="4"/>
  <c r="N248" i="4"/>
  <c r="N240" i="4"/>
  <c r="N229" i="4"/>
  <c r="N233" i="4"/>
  <c r="N225" i="4"/>
  <c r="N241" i="4"/>
  <c r="N245" i="4"/>
  <c r="N249" i="4"/>
  <c r="N226" i="4"/>
  <c r="N230" i="4"/>
  <c r="N234" i="4"/>
  <c r="N242" i="4"/>
  <c r="N246" i="4"/>
  <c r="N250" i="4"/>
  <c r="N227" i="4"/>
  <c r="N231" i="4"/>
  <c r="N235" i="4"/>
  <c r="N210" i="4"/>
  <c r="N214" i="4"/>
  <c r="N218" i="4"/>
  <c r="N203" i="4"/>
  <c r="N211" i="4"/>
  <c r="N215" i="4"/>
  <c r="N219" i="4"/>
  <c r="N204" i="4"/>
  <c r="N208" i="4"/>
  <c r="N212" i="4"/>
  <c r="N216" i="4"/>
  <c r="N201" i="4"/>
  <c r="N209" i="4"/>
  <c r="N213" i="4"/>
  <c r="N217" i="4"/>
  <c r="N202" i="4"/>
  <c r="M209" i="4"/>
  <c r="M213" i="4"/>
  <c r="M217" i="4"/>
  <c r="M202" i="4"/>
  <c r="M210" i="4"/>
  <c r="M214" i="4"/>
  <c r="M218" i="4"/>
  <c r="M203" i="4"/>
  <c r="M211" i="4"/>
  <c r="M215" i="4"/>
  <c r="M219" i="4"/>
  <c r="M204" i="4"/>
  <c r="M208" i="4"/>
  <c r="M212" i="4"/>
  <c r="M216" i="4"/>
  <c r="M201" i="4"/>
  <c r="J210" i="4"/>
  <c r="J214" i="4"/>
  <c r="J218" i="4"/>
  <c r="J203" i="4"/>
  <c r="J211" i="4"/>
  <c r="J215" i="4"/>
  <c r="J219" i="4"/>
  <c r="J204" i="4"/>
  <c r="J208" i="4"/>
  <c r="J212" i="4"/>
  <c r="J216" i="4"/>
  <c r="J201" i="4"/>
  <c r="J209" i="4"/>
  <c r="J213" i="4"/>
  <c r="J217" i="4"/>
  <c r="J202" i="4"/>
  <c r="D216" i="4"/>
  <c r="D212" i="4"/>
  <c r="D208" i="4"/>
  <c r="D202" i="4"/>
  <c r="D217" i="4"/>
  <c r="D213" i="4"/>
  <c r="D209" i="4"/>
  <c r="D203" i="4"/>
  <c r="D218" i="4"/>
  <c r="D214" i="4"/>
  <c r="D210" i="4"/>
  <c r="D204" i="4"/>
  <c r="D219" i="4"/>
  <c r="D215" i="4"/>
  <c r="D211" i="4"/>
  <c r="D141" i="4"/>
  <c r="D172" i="4" s="1"/>
  <c r="D201" i="4"/>
  <c r="E153" i="4"/>
  <c r="E184" i="4" s="1"/>
  <c r="C21" i="25" s="1"/>
  <c r="E242" i="4"/>
  <c r="E246" i="4"/>
  <c r="E250" i="4"/>
  <c r="E227" i="4"/>
  <c r="E231" i="4"/>
  <c r="E235" i="4"/>
  <c r="E243" i="4"/>
  <c r="E247" i="4"/>
  <c r="E251" i="4"/>
  <c r="E228" i="4"/>
  <c r="E232" i="4"/>
  <c r="E236" i="4"/>
  <c r="E244" i="4"/>
  <c r="E248" i="4"/>
  <c r="E240" i="4"/>
  <c r="E229" i="4"/>
  <c r="E233" i="4"/>
  <c r="E225" i="4"/>
  <c r="E241" i="4"/>
  <c r="E245" i="4"/>
  <c r="E249" i="4"/>
  <c r="E226" i="4"/>
  <c r="E230" i="4"/>
  <c r="E234" i="4"/>
  <c r="H152" i="4"/>
  <c r="H183" i="4" s="1"/>
  <c r="F20" i="25" s="1"/>
  <c r="H241" i="4"/>
  <c r="H245" i="4"/>
  <c r="H249" i="4"/>
  <c r="H226" i="4"/>
  <c r="H230" i="4"/>
  <c r="H234" i="4"/>
  <c r="H242" i="4"/>
  <c r="H246" i="4"/>
  <c r="H250" i="4"/>
  <c r="H227" i="4"/>
  <c r="H231" i="4"/>
  <c r="H235" i="4"/>
  <c r="H243" i="4"/>
  <c r="H247" i="4"/>
  <c r="H251" i="4"/>
  <c r="H228" i="4"/>
  <c r="H232" i="4"/>
  <c r="H236" i="4"/>
  <c r="H244" i="4"/>
  <c r="H248" i="4"/>
  <c r="H240" i="4"/>
  <c r="H229" i="4"/>
  <c r="H233" i="4"/>
  <c r="H225" i="4"/>
  <c r="L208" i="4"/>
  <c r="L212" i="4"/>
  <c r="L216" i="4"/>
  <c r="L201" i="4"/>
  <c r="L209" i="4"/>
  <c r="L213" i="4"/>
  <c r="L217" i="4"/>
  <c r="L202" i="4"/>
  <c r="L210" i="4"/>
  <c r="L214" i="4"/>
  <c r="L218" i="4"/>
  <c r="L203" i="4"/>
  <c r="L211" i="4"/>
  <c r="L215" i="4"/>
  <c r="L219" i="4"/>
  <c r="L204" i="4"/>
  <c r="O253" i="4"/>
  <c r="O254" i="4" s="1"/>
  <c r="O238" i="4"/>
  <c r="O239" i="4" s="1"/>
  <c r="I209" i="4"/>
  <c r="I213" i="4"/>
  <c r="I217" i="4"/>
  <c r="I202" i="4"/>
  <c r="I210" i="4"/>
  <c r="I214" i="4"/>
  <c r="I218" i="4"/>
  <c r="I203" i="4"/>
  <c r="I211" i="4"/>
  <c r="I215" i="4"/>
  <c r="I219" i="4"/>
  <c r="I204" i="4"/>
  <c r="I208" i="4"/>
  <c r="I212" i="4"/>
  <c r="I216" i="4"/>
  <c r="I201" i="4"/>
  <c r="F210" i="4"/>
  <c r="F214" i="4"/>
  <c r="F218" i="4"/>
  <c r="F203" i="4"/>
  <c r="F211" i="4"/>
  <c r="F215" i="4"/>
  <c r="F219" i="4"/>
  <c r="F204" i="4"/>
  <c r="F208" i="4"/>
  <c r="F212" i="4"/>
  <c r="F216" i="4"/>
  <c r="F201" i="4"/>
  <c r="F209" i="4"/>
  <c r="F213" i="4"/>
  <c r="F217" i="4"/>
  <c r="F202" i="4"/>
  <c r="H208" i="4"/>
  <c r="H212" i="4"/>
  <c r="H216" i="4"/>
  <c r="H201" i="4"/>
  <c r="H209" i="4"/>
  <c r="H213" i="4"/>
  <c r="H217" i="4"/>
  <c r="H202" i="4"/>
  <c r="H210" i="4"/>
  <c r="H214" i="4"/>
  <c r="H218" i="4"/>
  <c r="H203" i="4"/>
  <c r="H211" i="4"/>
  <c r="H215" i="4"/>
  <c r="H219" i="4"/>
  <c r="H204" i="4"/>
  <c r="G156" i="4"/>
  <c r="G187" i="4" s="1"/>
  <c r="E23" i="25" s="1"/>
  <c r="G244" i="4"/>
  <c r="G248" i="4"/>
  <c r="G240" i="4"/>
  <c r="G229" i="4"/>
  <c r="G233" i="4"/>
  <c r="G225" i="4"/>
  <c r="G241" i="4"/>
  <c r="G245" i="4"/>
  <c r="G249" i="4"/>
  <c r="G226" i="4"/>
  <c r="G230" i="4"/>
  <c r="G234" i="4"/>
  <c r="G242" i="4"/>
  <c r="G246" i="4"/>
  <c r="G250" i="4"/>
  <c r="G227" i="4"/>
  <c r="G231" i="4"/>
  <c r="G235" i="4"/>
  <c r="G243" i="4"/>
  <c r="G247" i="4"/>
  <c r="G251" i="4"/>
  <c r="G228" i="4"/>
  <c r="G232" i="4"/>
  <c r="G236" i="4"/>
  <c r="O211" i="4"/>
  <c r="O215" i="4"/>
  <c r="O219" i="4"/>
  <c r="O204" i="4"/>
  <c r="O208" i="4"/>
  <c r="O212" i="4"/>
  <c r="O216" i="4"/>
  <c r="O201" i="4"/>
  <c r="O209" i="4"/>
  <c r="O213" i="4"/>
  <c r="O217" i="4"/>
  <c r="O202" i="4"/>
  <c r="O210" i="4"/>
  <c r="O214" i="4"/>
  <c r="O218" i="4"/>
  <c r="O203" i="4"/>
  <c r="L155" i="4"/>
  <c r="L186" i="4" s="1"/>
  <c r="J22" i="25" s="1"/>
  <c r="L241" i="4"/>
  <c r="L245" i="4"/>
  <c r="L249" i="4"/>
  <c r="L226" i="4"/>
  <c r="L230" i="4"/>
  <c r="L234" i="4"/>
  <c r="L242" i="4"/>
  <c r="L246" i="4"/>
  <c r="L250" i="4"/>
  <c r="L227" i="4"/>
  <c r="L231" i="4"/>
  <c r="L235" i="4"/>
  <c r="L243" i="4"/>
  <c r="L247" i="4"/>
  <c r="L251" i="4"/>
  <c r="L228" i="4"/>
  <c r="L232" i="4"/>
  <c r="L236" i="4"/>
  <c r="L244" i="4"/>
  <c r="L248" i="4"/>
  <c r="L240" i="4"/>
  <c r="L229" i="4"/>
  <c r="L233" i="4"/>
  <c r="L225" i="4"/>
  <c r="F148" i="4"/>
  <c r="F179" i="4" s="1"/>
  <c r="D16" i="25" s="1"/>
  <c r="F243" i="4"/>
  <c r="F247" i="4"/>
  <c r="F251" i="4"/>
  <c r="F228" i="4"/>
  <c r="F232" i="4"/>
  <c r="F236" i="4"/>
  <c r="F244" i="4"/>
  <c r="F248" i="4"/>
  <c r="F240" i="4"/>
  <c r="F229" i="4"/>
  <c r="F233" i="4"/>
  <c r="F225" i="4"/>
  <c r="F241" i="4"/>
  <c r="F245" i="4"/>
  <c r="F249" i="4"/>
  <c r="F226" i="4"/>
  <c r="F230" i="4"/>
  <c r="F234" i="4"/>
  <c r="F242" i="4"/>
  <c r="F246" i="4"/>
  <c r="F250" i="4"/>
  <c r="F227" i="4"/>
  <c r="F231" i="4"/>
  <c r="F235" i="4"/>
  <c r="M115" i="4"/>
  <c r="M242" i="4"/>
  <c r="M246" i="4"/>
  <c r="M250" i="4"/>
  <c r="M227" i="4"/>
  <c r="M231" i="4"/>
  <c r="M235" i="4"/>
  <c r="M243" i="4"/>
  <c r="M247" i="4"/>
  <c r="M251" i="4"/>
  <c r="M228" i="4"/>
  <c r="M232" i="4"/>
  <c r="M236" i="4"/>
  <c r="M244" i="4"/>
  <c r="M248" i="4"/>
  <c r="M240" i="4"/>
  <c r="M229" i="4"/>
  <c r="M233" i="4"/>
  <c r="M225" i="4"/>
  <c r="M241" i="4"/>
  <c r="M245" i="4"/>
  <c r="M249" i="4"/>
  <c r="M226" i="4"/>
  <c r="M230" i="4"/>
  <c r="M234" i="4"/>
  <c r="G211" i="4"/>
  <c r="G215" i="4"/>
  <c r="G219" i="4"/>
  <c r="G204" i="4"/>
  <c r="G208" i="4"/>
  <c r="G212" i="4"/>
  <c r="G216" i="4"/>
  <c r="G201" i="4"/>
  <c r="G209" i="4"/>
  <c r="G213" i="4"/>
  <c r="G217" i="4"/>
  <c r="G202" i="4"/>
  <c r="G210" i="4"/>
  <c r="G214" i="4"/>
  <c r="G218" i="4"/>
  <c r="G203" i="4"/>
  <c r="K211" i="4"/>
  <c r="K215" i="4"/>
  <c r="K219" i="4"/>
  <c r="K204" i="4"/>
  <c r="K208" i="4"/>
  <c r="K212" i="4"/>
  <c r="K216" i="4"/>
  <c r="K201" i="4"/>
  <c r="K209" i="4"/>
  <c r="K213" i="4"/>
  <c r="K217" i="4"/>
  <c r="K202" i="4"/>
  <c r="K210" i="4"/>
  <c r="K214" i="4"/>
  <c r="K218" i="4"/>
  <c r="K203" i="4"/>
  <c r="M139" i="4"/>
  <c r="M170" i="4" s="1"/>
  <c r="M198" i="4"/>
  <c r="M193" i="4"/>
  <c r="M200" i="4"/>
  <c r="M199" i="4"/>
  <c r="M197" i="4"/>
  <c r="M196" i="4"/>
  <c r="M195" i="4"/>
  <c r="M194" i="4"/>
  <c r="J200" i="4"/>
  <c r="J199" i="4"/>
  <c r="J197" i="4"/>
  <c r="J196" i="4"/>
  <c r="J195" i="4"/>
  <c r="J194" i="4"/>
  <c r="J193" i="4"/>
  <c r="J198" i="4"/>
  <c r="D114" i="4"/>
  <c r="D200" i="4"/>
  <c r="D199" i="4"/>
  <c r="D197" i="4"/>
  <c r="D196" i="4"/>
  <c r="D195" i="4"/>
  <c r="D194" i="4"/>
  <c r="D193" i="4"/>
  <c r="D198" i="4"/>
  <c r="L133" i="4"/>
  <c r="L164" i="4" s="1"/>
  <c r="J3" i="25" s="1"/>
  <c r="L200" i="4"/>
  <c r="L199" i="4"/>
  <c r="L197" i="4"/>
  <c r="L196" i="4"/>
  <c r="L195" i="4"/>
  <c r="L194" i="4"/>
  <c r="L193" i="4"/>
  <c r="L198" i="4"/>
  <c r="I136" i="4"/>
  <c r="I167" i="4" s="1"/>
  <c r="G6" i="25" s="1"/>
  <c r="I198" i="4"/>
  <c r="I193" i="4"/>
  <c r="I200" i="4"/>
  <c r="I199" i="4"/>
  <c r="I197" i="4"/>
  <c r="I196" i="4"/>
  <c r="I195" i="4"/>
  <c r="I194" i="4"/>
  <c r="F132" i="4"/>
  <c r="F163" i="4" s="1"/>
  <c r="F200" i="4"/>
  <c r="F199" i="4"/>
  <c r="F197" i="4"/>
  <c r="F196" i="4"/>
  <c r="F195" i="4"/>
  <c r="F194" i="4"/>
  <c r="F193" i="4"/>
  <c r="F198" i="4"/>
  <c r="H139" i="4"/>
  <c r="H170" i="4" s="1"/>
  <c r="H200" i="4"/>
  <c r="H199" i="4"/>
  <c r="H197" i="4"/>
  <c r="H196" i="4"/>
  <c r="H195" i="4"/>
  <c r="H194" i="4"/>
  <c r="H193" i="4"/>
  <c r="H198" i="4"/>
  <c r="O114" i="4"/>
  <c r="O200" i="4"/>
  <c r="O199" i="4"/>
  <c r="O197" i="4"/>
  <c r="O196" i="4"/>
  <c r="O195" i="4"/>
  <c r="O194" i="4"/>
  <c r="O198" i="4"/>
  <c r="O193" i="4"/>
  <c r="G133" i="4"/>
  <c r="G164" i="4" s="1"/>
  <c r="E3" i="25" s="1"/>
  <c r="G200" i="4"/>
  <c r="G199" i="4"/>
  <c r="G197" i="4"/>
  <c r="G196" i="4"/>
  <c r="G195" i="4"/>
  <c r="G194" i="4"/>
  <c r="G198" i="4"/>
  <c r="G193" i="4"/>
  <c r="K141" i="4"/>
  <c r="K172" i="4" s="1"/>
  <c r="I10" i="25" s="1"/>
  <c r="K200" i="4"/>
  <c r="K199" i="4"/>
  <c r="K197" i="4"/>
  <c r="K196" i="4"/>
  <c r="K195" i="4"/>
  <c r="K194" i="4"/>
  <c r="K198" i="4"/>
  <c r="K193" i="4"/>
  <c r="E133" i="4"/>
  <c r="E164" i="4" s="1"/>
  <c r="C3" i="25" s="1"/>
  <c r="E198" i="4"/>
  <c r="E193" i="4"/>
  <c r="E200" i="4"/>
  <c r="E199" i="4"/>
  <c r="E197" i="4"/>
  <c r="E196" i="4"/>
  <c r="E195" i="4"/>
  <c r="E194" i="4"/>
  <c r="N141" i="4"/>
  <c r="N172" i="4" s="1"/>
  <c r="L10" i="25" s="1"/>
  <c r="N200" i="4"/>
  <c r="N199" i="4"/>
  <c r="N197" i="4"/>
  <c r="N196" i="4"/>
  <c r="N195" i="4"/>
  <c r="N194" i="4"/>
  <c r="N193" i="4"/>
  <c r="N198" i="4"/>
  <c r="L156" i="4"/>
  <c r="L187" i="4" s="1"/>
  <c r="J23" i="25" s="1"/>
  <c r="L137" i="4"/>
  <c r="L168" i="4" s="1"/>
  <c r="J7" i="25" s="1"/>
  <c r="L158" i="4"/>
  <c r="L189" i="4" s="1"/>
  <c r="J25" i="25" s="1"/>
  <c r="L115" i="4"/>
  <c r="L151" i="4"/>
  <c r="L182" i="4" s="1"/>
  <c r="J19" i="25" s="1"/>
  <c r="L154" i="4"/>
  <c r="L185" i="4" s="1"/>
  <c r="L139" i="4"/>
  <c r="L170" i="4" s="1"/>
  <c r="L136" i="4"/>
  <c r="L167" i="4" s="1"/>
  <c r="J6" i="25" s="1"/>
  <c r="L140" i="4"/>
  <c r="L171" i="4" s="1"/>
  <c r="J9" i="25" s="1"/>
  <c r="L138" i="4"/>
  <c r="L169" i="4" s="1"/>
  <c r="J8" i="25" s="1"/>
  <c r="L143" i="4"/>
  <c r="L174" i="4" s="1"/>
  <c r="J12" i="25" s="1"/>
  <c r="L134" i="4"/>
  <c r="L165" i="4" s="1"/>
  <c r="J4" i="25" s="1"/>
  <c r="L132" i="4"/>
  <c r="L163" i="4" s="1"/>
  <c r="L141" i="4"/>
  <c r="L172" i="4" s="1"/>
  <c r="J10" i="25" s="1"/>
  <c r="L114" i="4"/>
  <c r="L150" i="4"/>
  <c r="L152" i="4"/>
  <c r="L183" i="4" s="1"/>
  <c r="J20" i="25" s="1"/>
  <c r="O132" i="4"/>
  <c r="O163" i="4" s="1"/>
  <c r="L149" i="4"/>
  <c r="L180" i="4" s="1"/>
  <c r="J17" i="25" s="1"/>
  <c r="L147" i="4"/>
  <c r="L178" i="4" s="1"/>
  <c r="L153" i="4"/>
  <c r="L184" i="4" s="1"/>
  <c r="J21" i="25" s="1"/>
  <c r="L157" i="4"/>
  <c r="L148" i="4"/>
  <c r="L179" i="4" s="1"/>
  <c r="J16" i="25" s="1"/>
  <c r="K153" i="20"/>
  <c r="K184" i="20" s="1"/>
  <c r="I21" i="24" s="1"/>
  <c r="N143" i="4"/>
  <c r="N174" i="4" s="1"/>
  <c r="L12" i="25" s="1"/>
  <c r="K143" i="4"/>
  <c r="K174" i="4" s="1"/>
  <c r="I12" i="25" s="1"/>
  <c r="K134" i="4"/>
  <c r="K165" i="4" s="1"/>
  <c r="I4" i="25" s="1"/>
  <c r="I157" i="4"/>
  <c r="K138" i="4"/>
  <c r="K169" i="4" s="1"/>
  <c r="I8" i="25" s="1"/>
  <c r="K139" i="4"/>
  <c r="K170" i="4" s="1"/>
  <c r="K158" i="20"/>
  <c r="K189" i="20" s="1"/>
  <c r="I25" i="24" s="1"/>
  <c r="K132" i="4"/>
  <c r="K163" i="4" s="1"/>
  <c r="K114" i="4"/>
  <c r="G114" i="4"/>
  <c r="K147" i="20"/>
  <c r="K178" i="20" s="1"/>
  <c r="K135" i="4"/>
  <c r="K142" i="4"/>
  <c r="K137" i="4"/>
  <c r="K168" i="4" s="1"/>
  <c r="I7" i="25" s="1"/>
  <c r="K140" i="4"/>
  <c r="K171" i="4" s="1"/>
  <c r="I9" i="25" s="1"/>
  <c r="K136" i="4"/>
  <c r="K167" i="4" s="1"/>
  <c r="I6" i="25" s="1"/>
  <c r="N134" i="4"/>
  <c r="N165" i="4" s="1"/>
  <c r="L4" i="25" s="1"/>
  <c r="N139" i="4"/>
  <c r="N170" i="4" s="1"/>
  <c r="H153" i="4"/>
  <c r="H184" i="4" s="1"/>
  <c r="F21" i="25" s="1"/>
  <c r="H148" i="4"/>
  <c r="H179" i="4" s="1"/>
  <c r="F16" i="25" s="1"/>
  <c r="H149" i="4"/>
  <c r="H180" i="4" s="1"/>
  <c r="F17" i="25" s="1"/>
  <c r="H147" i="4"/>
  <c r="H178" i="4" s="1"/>
  <c r="N135" i="4"/>
  <c r="N133" i="4"/>
  <c r="N164" i="4" s="1"/>
  <c r="L3" i="25" s="1"/>
  <c r="N140" i="4"/>
  <c r="N171" i="4" s="1"/>
  <c r="L9" i="25" s="1"/>
  <c r="N138" i="4"/>
  <c r="N169" i="4" s="1"/>
  <c r="L8" i="25" s="1"/>
  <c r="N132" i="4"/>
  <c r="N163" i="4" s="1"/>
  <c r="N142" i="4"/>
  <c r="N114" i="4"/>
  <c r="N137" i="4"/>
  <c r="N168" i="4" s="1"/>
  <c r="L7" i="25" s="1"/>
  <c r="N136" i="4"/>
  <c r="N167" i="4" s="1"/>
  <c r="L6" i="25" s="1"/>
  <c r="G140" i="4"/>
  <c r="G171" i="4" s="1"/>
  <c r="E9" i="25" s="1"/>
  <c r="M154" i="4"/>
  <c r="M185" i="4" s="1"/>
  <c r="K148" i="20"/>
  <c r="K179" i="20" s="1"/>
  <c r="I16" i="24" s="1"/>
  <c r="K155" i="20"/>
  <c r="K186" i="20" s="1"/>
  <c r="I22" i="24" s="1"/>
  <c r="K151" i="20"/>
  <c r="K182" i="20" s="1"/>
  <c r="I19" i="24" s="1"/>
  <c r="K157" i="20"/>
  <c r="M156" i="4"/>
  <c r="M187" i="4" s="1"/>
  <c r="K23" i="25" s="1"/>
  <c r="G137" i="4"/>
  <c r="G168" i="4" s="1"/>
  <c r="E7" i="25" s="1"/>
  <c r="M158" i="4"/>
  <c r="M189" i="4" s="1"/>
  <c r="K25" i="25" s="1"/>
  <c r="K152" i="20"/>
  <c r="K183" i="20" s="1"/>
  <c r="I20" i="24" s="1"/>
  <c r="K150" i="20"/>
  <c r="K115" i="20"/>
  <c r="F149" i="4"/>
  <c r="F180" i="4" s="1"/>
  <c r="D17" i="25" s="1"/>
  <c r="K154" i="20"/>
  <c r="K185" i="20" s="1"/>
  <c r="K156" i="20"/>
  <c r="K187" i="20" s="1"/>
  <c r="I23" i="24" s="1"/>
  <c r="H154" i="4"/>
  <c r="H185" i="4" s="1"/>
  <c r="H156" i="4"/>
  <c r="H187" i="4" s="1"/>
  <c r="F23" i="25" s="1"/>
  <c r="H150" i="4"/>
  <c r="H115" i="4"/>
  <c r="E158" i="4"/>
  <c r="E189" i="4" s="1"/>
  <c r="C25" i="25" s="1"/>
  <c r="H151" i="4"/>
  <c r="H182" i="4" s="1"/>
  <c r="F19" i="25" s="1"/>
  <c r="H158" i="4"/>
  <c r="H189" i="4" s="1"/>
  <c r="F25" i="25" s="1"/>
  <c r="H155" i="4"/>
  <c r="H186" i="4" s="1"/>
  <c r="F22" i="25" s="1"/>
  <c r="E156" i="4"/>
  <c r="E187" i="4" s="1"/>
  <c r="C23" i="25" s="1"/>
  <c r="H157" i="4"/>
  <c r="O133" i="4"/>
  <c r="O164" i="4" s="1"/>
  <c r="M3" i="25" s="1"/>
  <c r="O135" i="4"/>
  <c r="O140" i="4"/>
  <c r="O171" i="4" s="1"/>
  <c r="M9" i="25" s="1"/>
  <c r="O136" i="4"/>
  <c r="O167" i="4" s="1"/>
  <c r="M6" i="25" s="1"/>
  <c r="O134" i="4"/>
  <c r="O165" i="4" s="1"/>
  <c r="M4" i="25" s="1"/>
  <c r="F136" i="20"/>
  <c r="F167" i="20" s="1"/>
  <c r="D6" i="24" s="1"/>
  <c r="E150" i="4"/>
  <c r="N158" i="4"/>
  <c r="N189" i="4" s="1"/>
  <c r="L25" i="25" s="1"/>
  <c r="N154" i="4"/>
  <c r="N185" i="4" s="1"/>
  <c r="H148" i="20"/>
  <c r="H179" i="20" s="1"/>
  <c r="F16" i="24" s="1"/>
  <c r="E133" i="20"/>
  <c r="E164" i="20" s="1"/>
  <c r="C3" i="24" s="1"/>
  <c r="E147" i="4"/>
  <c r="E178" i="4" s="1"/>
  <c r="O142" i="4"/>
  <c r="O141" i="4"/>
  <c r="O172" i="4" s="1"/>
  <c r="M10" i="25" s="1"/>
  <c r="O139" i="4"/>
  <c r="O170" i="4" s="1"/>
  <c r="O138" i="4"/>
  <c r="O169" i="4" s="1"/>
  <c r="M8" i="25" s="1"/>
  <c r="O143" i="4"/>
  <c r="O174" i="4" s="1"/>
  <c r="M12" i="25" s="1"/>
  <c r="O137" i="4"/>
  <c r="O168" i="4" s="1"/>
  <c r="M7" i="25" s="1"/>
  <c r="H136" i="4"/>
  <c r="H167" i="4" s="1"/>
  <c r="F6" i="25" s="1"/>
  <c r="G148" i="4"/>
  <c r="G179" i="4" s="1"/>
  <c r="E16" i="25" s="1"/>
  <c r="K147" i="4"/>
  <c r="K178" i="4" s="1"/>
  <c r="G157" i="4"/>
  <c r="K158" i="4"/>
  <c r="K189" i="4" s="1"/>
  <c r="I25" i="25" s="1"/>
  <c r="K155" i="4"/>
  <c r="K186" i="4" s="1"/>
  <c r="I22" i="25" s="1"/>
  <c r="N157" i="4"/>
  <c r="N151" i="4"/>
  <c r="N182" i="4" s="1"/>
  <c r="L19" i="25" s="1"/>
  <c r="N115" i="4"/>
  <c r="K148" i="4"/>
  <c r="K179" i="4" s="1"/>
  <c r="I16" i="25" s="1"/>
  <c r="N150" i="4"/>
  <c r="N156" i="4"/>
  <c r="N187" i="4" s="1"/>
  <c r="L23" i="25" s="1"/>
  <c r="N148" i="4"/>
  <c r="N179" i="4" s="1"/>
  <c r="L16" i="25" s="1"/>
  <c r="N147" i="4"/>
  <c r="N178" i="4" s="1"/>
  <c r="K154" i="4"/>
  <c r="K185" i="4" s="1"/>
  <c r="K115" i="4"/>
  <c r="K151" i="4"/>
  <c r="K182" i="4" s="1"/>
  <c r="I19" i="25" s="1"/>
  <c r="K152" i="4"/>
  <c r="K183" i="4" s="1"/>
  <c r="I20" i="25" s="1"/>
  <c r="N152" i="4"/>
  <c r="N183" i="4" s="1"/>
  <c r="L20" i="25" s="1"/>
  <c r="N149" i="4"/>
  <c r="N180" i="4" s="1"/>
  <c r="L17" i="25" s="1"/>
  <c r="N153" i="4"/>
  <c r="N184" i="4" s="1"/>
  <c r="L21" i="25" s="1"/>
  <c r="K157" i="4"/>
  <c r="K149" i="4"/>
  <c r="K180" i="4" s="1"/>
  <c r="I17" i="25" s="1"/>
  <c r="G134" i="4"/>
  <c r="G165" i="4" s="1"/>
  <c r="E4" i="25" s="1"/>
  <c r="G138" i="4"/>
  <c r="G169" i="4" s="1"/>
  <c r="E8" i="25" s="1"/>
  <c r="G141" i="4"/>
  <c r="G172" i="4" s="1"/>
  <c r="E10" i="25" s="1"/>
  <c r="G132" i="4"/>
  <c r="G163" i="4" s="1"/>
  <c r="M147" i="4"/>
  <c r="M178" i="4" s="1"/>
  <c r="M155" i="4"/>
  <c r="M186" i="4" s="1"/>
  <c r="K22" i="25" s="1"/>
  <c r="G143" i="4"/>
  <c r="G174" i="4" s="1"/>
  <c r="E12" i="25" s="1"/>
  <c r="G135" i="4"/>
  <c r="G139" i="4"/>
  <c r="G170" i="4" s="1"/>
  <c r="M151" i="4"/>
  <c r="M182" i="4" s="1"/>
  <c r="K19" i="25" s="1"/>
  <c r="M152" i="4"/>
  <c r="M183" i="4" s="1"/>
  <c r="K20" i="25" s="1"/>
  <c r="M150" i="4"/>
  <c r="M153" i="4"/>
  <c r="M184" i="4" s="1"/>
  <c r="K21" i="25" s="1"/>
  <c r="G142" i="4"/>
  <c r="G136" i="4"/>
  <c r="G167" i="4" s="1"/>
  <c r="E6" i="25" s="1"/>
  <c r="M149" i="4"/>
  <c r="M180" i="4" s="1"/>
  <c r="K17" i="25" s="1"/>
  <c r="M157" i="4"/>
  <c r="M148" i="4"/>
  <c r="M179" i="4" s="1"/>
  <c r="K16" i="25" s="1"/>
  <c r="E152" i="4"/>
  <c r="E183" i="4" s="1"/>
  <c r="C20" i="25" s="1"/>
  <c r="E115" i="4"/>
  <c r="E149" i="4"/>
  <c r="E180" i="4" s="1"/>
  <c r="C17" i="25" s="1"/>
  <c r="E155" i="4"/>
  <c r="E186" i="4" s="1"/>
  <c r="C22" i="25" s="1"/>
  <c r="E157" i="4"/>
  <c r="E148" i="4"/>
  <c r="E179" i="4" s="1"/>
  <c r="C16" i="25" s="1"/>
  <c r="E154" i="4"/>
  <c r="E185" i="4" s="1"/>
  <c r="E151" i="4"/>
  <c r="E182" i="4" s="1"/>
  <c r="C19" i="25" s="1"/>
  <c r="F157" i="4"/>
  <c r="F114" i="4"/>
  <c r="G115" i="4"/>
  <c r="G147" i="4"/>
  <c r="G178" i="4" s="1"/>
  <c r="G155" i="4"/>
  <c r="G186" i="4" s="1"/>
  <c r="E22" i="25" s="1"/>
  <c r="E152" i="20"/>
  <c r="E183" i="20" s="1"/>
  <c r="C20" i="24" s="1"/>
  <c r="H134" i="4"/>
  <c r="H165" i="4" s="1"/>
  <c r="F4" i="25" s="1"/>
  <c r="G154" i="4"/>
  <c r="G185" i="4" s="1"/>
  <c r="G153" i="4"/>
  <c r="G184" i="4" s="1"/>
  <c r="E21" i="25" s="1"/>
  <c r="F134" i="4"/>
  <c r="F165" i="4" s="1"/>
  <c r="D4" i="25" s="1"/>
  <c r="G152" i="4"/>
  <c r="G183" i="4" s="1"/>
  <c r="E20" i="25" s="1"/>
  <c r="G150" i="4"/>
  <c r="G158" i="4"/>
  <c r="G189" i="4" s="1"/>
  <c r="E25" i="25" s="1"/>
  <c r="H138" i="4"/>
  <c r="H169" i="4" s="1"/>
  <c r="F8" i="25" s="1"/>
  <c r="G149" i="4"/>
  <c r="G180" i="4" s="1"/>
  <c r="E17" i="25" s="1"/>
  <c r="F133" i="4"/>
  <c r="F164" i="4" s="1"/>
  <c r="D3" i="25" s="1"/>
  <c r="H114" i="4"/>
  <c r="G151" i="4"/>
  <c r="G182" i="4" s="1"/>
  <c r="E19" i="25" s="1"/>
  <c r="H135" i="4"/>
  <c r="H141" i="4"/>
  <c r="H172" i="4" s="1"/>
  <c r="F10" i="25" s="1"/>
  <c r="H142" i="4"/>
  <c r="I114" i="4"/>
  <c r="I148" i="4"/>
  <c r="I179" i="4" s="1"/>
  <c r="G16" i="25" s="1"/>
  <c r="K150" i="4"/>
  <c r="K153" i="4"/>
  <c r="K184" i="4" s="1"/>
  <c r="I21" i="25" s="1"/>
  <c r="I115" i="4"/>
  <c r="M138" i="4"/>
  <c r="M169" i="4" s="1"/>
  <c r="K8" i="25" s="1"/>
  <c r="I140" i="4"/>
  <c r="I171" i="4" s="1"/>
  <c r="G9" i="25" s="1"/>
  <c r="H133" i="4"/>
  <c r="H164" i="4" s="1"/>
  <c r="F3" i="25" s="1"/>
  <c r="I139" i="4"/>
  <c r="I170" i="4" s="1"/>
  <c r="M135" i="4"/>
  <c r="M143" i="4"/>
  <c r="M174" i="4" s="1"/>
  <c r="K12" i="25" s="1"/>
  <c r="M137" i="4"/>
  <c r="M168" i="4" s="1"/>
  <c r="K7" i="25" s="1"/>
  <c r="F150" i="4"/>
  <c r="H143" i="4"/>
  <c r="H174" i="4" s="1"/>
  <c r="F12" i="25" s="1"/>
  <c r="H140" i="4"/>
  <c r="H171" i="4" s="1"/>
  <c r="F9" i="25" s="1"/>
  <c r="H137" i="4"/>
  <c r="H168" i="4" s="1"/>
  <c r="F7" i="25" s="1"/>
  <c r="F152" i="4"/>
  <c r="F183" i="4" s="1"/>
  <c r="D20" i="25" s="1"/>
  <c r="I133" i="4"/>
  <c r="I164" i="4" s="1"/>
  <c r="G3" i="25" s="1"/>
  <c r="I142" i="4"/>
  <c r="M142" i="4"/>
  <c r="M141" i="4"/>
  <c r="M172" i="4" s="1"/>
  <c r="K10" i="25" s="1"/>
  <c r="M136" i="4"/>
  <c r="M167" i="4" s="1"/>
  <c r="K6" i="25" s="1"/>
  <c r="M132" i="4"/>
  <c r="M163" i="4" s="1"/>
  <c r="M134" i="4"/>
  <c r="M165" i="4" s="1"/>
  <c r="K4" i="25" s="1"/>
  <c r="M114" i="4"/>
  <c r="M140" i="4"/>
  <c r="M171" i="4" s="1"/>
  <c r="K9" i="25" s="1"/>
  <c r="M133" i="4"/>
  <c r="F155" i="4"/>
  <c r="F186" i="4" s="1"/>
  <c r="D22" i="25" s="1"/>
  <c r="F147" i="4"/>
  <c r="F178" i="4" s="1"/>
  <c r="F115" i="4"/>
  <c r="F151" i="4"/>
  <c r="F182" i="4" s="1"/>
  <c r="D19" i="25" s="1"/>
  <c r="F156" i="4"/>
  <c r="F187" i="4" s="1"/>
  <c r="D23" i="25" s="1"/>
  <c r="F153" i="4"/>
  <c r="F184" i="4" s="1"/>
  <c r="D21" i="25" s="1"/>
  <c r="F154" i="4"/>
  <c r="F185" i="4" s="1"/>
  <c r="I156" i="4"/>
  <c r="I187" i="4" s="1"/>
  <c r="G23" i="25" s="1"/>
  <c r="I158" i="4"/>
  <c r="I189" i="4" s="1"/>
  <c r="G25" i="25" s="1"/>
  <c r="I147" i="4"/>
  <c r="I178" i="4" s="1"/>
  <c r="I155" i="4"/>
  <c r="I186" i="4" s="1"/>
  <c r="G22" i="25" s="1"/>
  <c r="F158" i="4"/>
  <c r="F189" i="4" s="1"/>
  <c r="D25" i="25" s="1"/>
  <c r="D143" i="4"/>
  <c r="D174" i="4" s="1"/>
  <c r="B12" i="25" s="1"/>
  <c r="D132" i="4"/>
  <c r="D163" i="4" s="1"/>
  <c r="D142" i="4"/>
  <c r="D136" i="4"/>
  <c r="D167" i="4" s="1"/>
  <c r="B6" i="25" s="1"/>
  <c r="D135" i="4"/>
  <c r="D134" i="4"/>
  <c r="I132" i="4"/>
  <c r="I163" i="4" s="1"/>
  <c r="I137" i="4"/>
  <c r="I168" i="4" s="1"/>
  <c r="G7" i="25" s="1"/>
  <c r="I141" i="4"/>
  <c r="I172" i="4" s="1"/>
  <c r="G10" i="25" s="1"/>
  <c r="D140" i="4"/>
  <c r="D139" i="4"/>
  <c r="D170" i="4" s="1"/>
  <c r="D138" i="4"/>
  <c r="D169" i="4" s="1"/>
  <c r="B8" i="25" s="1"/>
  <c r="I143" i="4"/>
  <c r="I174" i="4" s="1"/>
  <c r="G12" i="25" s="1"/>
  <c r="I138" i="4"/>
  <c r="I169" i="4" s="1"/>
  <c r="G8" i="25" s="1"/>
  <c r="I135" i="4"/>
  <c r="I134" i="4"/>
  <c r="I165" i="4" s="1"/>
  <c r="G4" i="25" s="1"/>
  <c r="H132" i="4"/>
  <c r="H163" i="4" s="1"/>
  <c r="D137" i="4"/>
  <c r="D168" i="4" s="1"/>
  <c r="B7" i="25" s="1"/>
  <c r="D133" i="4"/>
  <c r="I151" i="4"/>
  <c r="I182" i="4" s="1"/>
  <c r="G19" i="25" s="1"/>
  <c r="I149" i="4"/>
  <c r="I180" i="4" s="1"/>
  <c r="G17" i="25" s="1"/>
  <c r="I152" i="4"/>
  <c r="I183" i="4" s="1"/>
  <c r="G20" i="25" s="1"/>
  <c r="I153" i="4"/>
  <c r="I184" i="4" s="1"/>
  <c r="G21" i="25" s="1"/>
  <c r="I154" i="4"/>
  <c r="I185" i="4" s="1"/>
  <c r="D156" i="4"/>
  <c r="D152" i="4"/>
  <c r="D183" i="4" s="1"/>
  <c r="B20" i="25" s="1"/>
  <c r="D150" i="4"/>
  <c r="D148" i="4"/>
  <c r="D158" i="4"/>
  <c r="D189" i="4" s="1"/>
  <c r="B25" i="25" s="1"/>
  <c r="D153" i="4"/>
  <c r="D184" i="4" s="1"/>
  <c r="B21" i="25" s="1"/>
  <c r="D149" i="4"/>
  <c r="D157" i="4"/>
  <c r="D147" i="4"/>
  <c r="D115" i="4"/>
  <c r="D154" i="4"/>
  <c r="D185" i="4" s="1"/>
  <c r="D155" i="4"/>
  <c r="J113" i="4"/>
  <c r="J141" i="4"/>
  <c r="J172" i="4" s="1"/>
  <c r="H10" i="25" s="1"/>
  <c r="J138" i="4"/>
  <c r="J169" i="4" s="1"/>
  <c r="H8" i="25" s="1"/>
  <c r="J140" i="4"/>
  <c r="J171" i="4" s="1"/>
  <c r="H9" i="25" s="1"/>
  <c r="J139" i="4"/>
  <c r="J170" i="4" s="1"/>
  <c r="J137" i="4"/>
  <c r="J168" i="4" s="1"/>
  <c r="H7" i="25" s="1"/>
  <c r="J134" i="4"/>
  <c r="J165" i="4" s="1"/>
  <c r="H4" i="25" s="1"/>
  <c r="J136" i="4"/>
  <c r="J167" i="4" s="1"/>
  <c r="H6" i="25" s="1"/>
  <c r="J133" i="4"/>
  <c r="J164" i="4" s="1"/>
  <c r="H3" i="25" s="1"/>
  <c r="J114" i="4"/>
  <c r="J135" i="4"/>
  <c r="J142" i="4"/>
  <c r="J143" i="4"/>
  <c r="J174" i="4" s="1"/>
  <c r="H12" i="25" s="1"/>
  <c r="J132" i="4"/>
  <c r="F135" i="4"/>
  <c r="F141" i="4"/>
  <c r="F172" i="4" s="1"/>
  <c r="D10" i="25" s="1"/>
  <c r="F142" i="4"/>
  <c r="F137" i="4"/>
  <c r="F168" i="4" s="1"/>
  <c r="D7" i="25" s="1"/>
  <c r="F139" i="4"/>
  <c r="F170" i="4" s="1"/>
  <c r="F136" i="4"/>
  <c r="F167" i="4" s="1"/>
  <c r="D6" i="25" s="1"/>
  <c r="F143" i="4"/>
  <c r="F174" i="4" s="1"/>
  <c r="D12" i="25" s="1"/>
  <c r="F138" i="4"/>
  <c r="F169" i="4" s="1"/>
  <c r="D8" i="25" s="1"/>
  <c r="F140" i="4"/>
  <c r="F171" i="4" s="1"/>
  <c r="D9" i="25" s="1"/>
  <c r="G135" i="20"/>
  <c r="I148" i="20"/>
  <c r="I179" i="20" s="1"/>
  <c r="G16" i="24" s="1"/>
  <c r="H152" i="20"/>
  <c r="H183" i="20" s="1"/>
  <c r="F20" i="24" s="1"/>
  <c r="F139" i="20"/>
  <c r="F170" i="20" s="1"/>
  <c r="H157" i="20"/>
  <c r="F141" i="20"/>
  <c r="F172" i="20" s="1"/>
  <c r="D10" i="24" s="1"/>
  <c r="H151" i="20"/>
  <c r="H182" i="20" s="1"/>
  <c r="F19" i="24" s="1"/>
  <c r="E138" i="4"/>
  <c r="E169" i="4" s="1"/>
  <c r="C8" i="25" s="1"/>
  <c r="E142" i="4"/>
  <c r="E139" i="4"/>
  <c r="E170" i="4" s="1"/>
  <c r="E143" i="20"/>
  <c r="E174" i="20" s="1"/>
  <c r="C12" i="24" s="1"/>
  <c r="E136" i="20"/>
  <c r="E167" i="20" s="1"/>
  <c r="C6" i="24" s="1"/>
  <c r="E138" i="20"/>
  <c r="E169" i="20" s="1"/>
  <c r="C8" i="24" s="1"/>
  <c r="I150" i="20"/>
  <c r="F142" i="20"/>
  <c r="F114" i="20"/>
  <c r="F134" i="20"/>
  <c r="F165" i="20" s="1"/>
  <c r="D4" i="24" s="1"/>
  <c r="H154" i="20"/>
  <c r="H185" i="20" s="1"/>
  <c r="H149" i="20"/>
  <c r="H180" i="20" s="1"/>
  <c r="F17" i="24" s="1"/>
  <c r="H150" i="20"/>
  <c r="I158" i="20"/>
  <c r="I189" i="20" s="1"/>
  <c r="G25" i="24" s="1"/>
  <c r="F137" i="20"/>
  <c r="F168" i="20" s="1"/>
  <c r="D7" i="24" s="1"/>
  <c r="F132" i="20"/>
  <c r="F163" i="20" s="1"/>
  <c r="F133" i="20"/>
  <c r="F164" i="20" s="1"/>
  <c r="D3" i="24" s="1"/>
  <c r="F135" i="20"/>
  <c r="H158" i="20"/>
  <c r="H189" i="20" s="1"/>
  <c r="F25" i="24" s="1"/>
  <c r="H155" i="20"/>
  <c r="H186" i="20" s="1"/>
  <c r="F22" i="24" s="1"/>
  <c r="H147" i="20"/>
  <c r="H178" i="20" s="1"/>
  <c r="I154" i="20"/>
  <c r="I185" i="20" s="1"/>
  <c r="F140" i="20"/>
  <c r="F171" i="20" s="1"/>
  <c r="D9" i="24" s="1"/>
  <c r="F143" i="20"/>
  <c r="F174" i="20" s="1"/>
  <c r="D12" i="24" s="1"/>
  <c r="H156" i="20"/>
  <c r="H187" i="20" s="1"/>
  <c r="F23" i="24" s="1"/>
  <c r="H115" i="20"/>
  <c r="M158" i="20"/>
  <c r="M189" i="20" s="1"/>
  <c r="K25" i="24" s="1"/>
  <c r="L140" i="20"/>
  <c r="L171" i="20" s="1"/>
  <c r="J9" i="24" s="1"/>
  <c r="E134" i="4"/>
  <c r="E165" i="4" s="1"/>
  <c r="C4" i="25" s="1"/>
  <c r="E140" i="4"/>
  <c r="E171" i="4" s="1"/>
  <c r="C9" i="25" s="1"/>
  <c r="E137" i="4"/>
  <c r="E168" i="4" s="1"/>
  <c r="C7" i="25" s="1"/>
  <c r="O154" i="20"/>
  <c r="O185" i="20" s="1"/>
  <c r="M151" i="20"/>
  <c r="M182" i="20" s="1"/>
  <c r="K19" i="24" s="1"/>
  <c r="A112" i="4"/>
  <c r="B117" i="4" s="1"/>
  <c r="E141" i="4"/>
  <c r="E172" i="4" s="1"/>
  <c r="C10" i="25" s="1"/>
  <c r="E143" i="4"/>
  <c r="E174" i="4" s="1"/>
  <c r="C12" i="25" s="1"/>
  <c r="E135" i="4"/>
  <c r="L142" i="20"/>
  <c r="O156" i="20"/>
  <c r="O187" i="20" s="1"/>
  <c r="M23" i="24" s="1"/>
  <c r="M153" i="20"/>
  <c r="M184" i="20" s="1"/>
  <c r="K21" i="24" s="1"/>
  <c r="E132" i="4"/>
  <c r="E163" i="4" s="1"/>
  <c r="E114" i="4"/>
  <c r="E136" i="4"/>
  <c r="E167" i="4" s="1"/>
  <c r="C6" i="25" s="1"/>
  <c r="L136" i="20"/>
  <c r="L167" i="20" s="1"/>
  <c r="J6" i="24" s="1"/>
  <c r="O115" i="20"/>
  <c r="M154" i="20"/>
  <c r="M185" i="20" s="1"/>
  <c r="K133" i="20"/>
  <c r="K164" i="20" s="1"/>
  <c r="I3" i="24" s="1"/>
  <c r="K135" i="20"/>
  <c r="K141" i="20"/>
  <c r="K172" i="20" s="1"/>
  <c r="I10" i="24" s="1"/>
  <c r="K132" i="20"/>
  <c r="K163" i="20" s="1"/>
  <c r="K134" i="20"/>
  <c r="K165" i="20" s="1"/>
  <c r="I4" i="24" s="1"/>
  <c r="K142" i="20"/>
  <c r="K114" i="20"/>
  <c r="K143" i="20"/>
  <c r="K174" i="20" s="1"/>
  <c r="I12" i="24" s="1"/>
  <c r="K140" i="20"/>
  <c r="K171" i="20" s="1"/>
  <c r="I9" i="24" s="1"/>
  <c r="K137" i="20"/>
  <c r="K168" i="20" s="1"/>
  <c r="I7" i="24" s="1"/>
  <c r="G114" i="20"/>
  <c r="K139" i="20"/>
  <c r="K170" i="20" s="1"/>
  <c r="K138" i="20"/>
  <c r="K169" i="20" s="1"/>
  <c r="I8" i="24" s="1"/>
  <c r="G141" i="20"/>
  <c r="G172" i="20" s="1"/>
  <c r="E10" i="24" s="1"/>
  <c r="J115" i="20"/>
  <c r="G115" i="20"/>
  <c r="E158" i="20"/>
  <c r="E189" i="20" s="1"/>
  <c r="C25" i="24" s="1"/>
  <c r="G155" i="20"/>
  <c r="G186" i="20" s="1"/>
  <c r="E22" i="24" s="1"/>
  <c r="E156" i="20"/>
  <c r="E187" i="20" s="1"/>
  <c r="C23" i="24" s="1"/>
  <c r="G154" i="20"/>
  <c r="G185" i="20" s="1"/>
  <c r="G147" i="20"/>
  <c r="G178" i="20" s="1"/>
  <c r="G148" i="20"/>
  <c r="G179" i="20" s="1"/>
  <c r="E16" i="24" s="1"/>
  <c r="G150" i="20"/>
  <c r="G151" i="20"/>
  <c r="G182" i="20" s="1"/>
  <c r="E19" i="24" s="1"/>
  <c r="G149" i="20"/>
  <c r="G180" i="20" s="1"/>
  <c r="E17" i="24" s="1"/>
  <c r="G152" i="20"/>
  <c r="G183" i="20" s="1"/>
  <c r="E20" i="24" s="1"/>
  <c r="G157" i="20"/>
  <c r="G158" i="20"/>
  <c r="G189" i="20" s="1"/>
  <c r="E25" i="24" s="1"/>
  <c r="E157" i="20"/>
  <c r="G156" i="20"/>
  <c r="G187" i="20" s="1"/>
  <c r="E23" i="24" s="1"/>
  <c r="I157" i="20"/>
  <c r="I147" i="20"/>
  <c r="I178" i="20" s="1"/>
  <c r="I153" i="20"/>
  <c r="I184" i="20" s="1"/>
  <c r="G21" i="24" s="1"/>
  <c r="E139" i="20"/>
  <c r="E170" i="20" s="1"/>
  <c r="E132" i="20"/>
  <c r="E163" i="20" s="1"/>
  <c r="E142" i="20"/>
  <c r="E115" i="20"/>
  <c r="E148" i="20"/>
  <c r="E179" i="20" s="1"/>
  <c r="C16" i="24" s="1"/>
  <c r="I149" i="20"/>
  <c r="I180" i="20" s="1"/>
  <c r="G17" i="24" s="1"/>
  <c r="I152" i="20"/>
  <c r="I183" i="20" s="1"/>
  <c r="G20" i="24" s="1"/>
  <c r="I155" i="20"/>
  <c r="I186" i="20" s="1"/>
  <c r="G22" i="24" s="1"/>
  <c r="E135" i="20"/>
  <c r="E140" i="20"/>
  <c r="E171" i="20" s="1"/>
  <c r="C9" i="24" s="1"/>
  <c r="E137" i="20"/>
  <c r="E168" i="20" s="1"/>
  <c r="C7" i="24" s="1"/>
  <c r="E151" i="20"/>
  <c r="E182" i="20" s="1"/>
  <c r="C19" i="24" s="1"/>
  <c r="E154" i="20"/>
  <c r="E185" i="20" s="1"/>
  <c r="E149" i="20"/>
  <c r="E180" i="20" s="1"/>
  <c r="C17" i="24" s="1"/>
  <c r="E147" i="20"/>
  <c r="I115" i="20"/>
  <c r="I156" i="20"/>
  <c r="I187" i="20" s="1"/>
  <c r="G23" i="24" s="1"/>
  <c r="E141" i="20"/>
  <c r="E172" i="20" s="1"/>
  <c r="C10" i="24" s="1"/>
  <c r="E114" i="20"/>
  <c r="E155" i="20"/>
  <c r="E186" i="20" s="1"/>
  <c r="C22" i="24" s="1"/>
  <c r="E153" i="20"/>
  <c r="E184" i="20" s="1"/>
  <c r="C21" i="24" s="1"/>
  <c r="L132" i="20"/>
  <c r="L163" i="20" s="1"/>
  <c r="L139" i="20"/>
  <c r="L170" i="20" s="1"/>
  <c r="L133" i="20"/>
  <c r="L164" i="20" s="1"/>
  <c r="J3" i="24" s="1"/>
  <c r="L138" i="20"/>
  <c r="L169" i="20" s="1"/>
  <c r="J8" i="24" s="1"/>
  <c r="M155" i="20"/>
  <c r="M186" i="20" s="1"/>
  <c r="K22" i="24" s="1"/>
  <c r="M147" i="20"/>
  <c r="M178" i="20" s="1"/>
  <c r="M115" i="20"/>
  <c r="L143" i="20"/>
  <c r="L174" i="20" s="1"/>
  <c r="J12" i="24" s="1"/>
  <c r="L114" i="20"/>
  <c r="L134" i="20"/>
  <c r="L165" i="20" s="1"/>
  <c r="J4" i="24" s="1"/>
  <c r="M149" i="20"/>
  <c r="M180" i="20" s="1"/>
  <c r="K17" i="24" s="1"/>
  <c r="M157" i="20"/>
  <c r="M150" i="20"/>
  <c r="L137" i="20"/>
  <c r="L168" i="20" s="1"/>
  <c r="J7" i="24" s="1"/>
  <c r="L135" i="20"/>
  <c r="M148" i="20"/>
  <c r="M179" i="20" s="1"/>
  <c r="K16" i="24" s="1"/>
  <c r="M156" i="20"/>
  <c r="M187" i="20" s="1"/>
  <c r="K23" i="24" s="1"/>
  <c r="L157" i="20"/>
  <c r="F153" i="20"/>
  <c r="F184" i="20" s="1"/>
  <c r="D21" i="24" s="1"/>
  <c r="O150" i="20"/>
  <c r="O147" i="20"/>
  <c r="O178" i="20" s="1"/>
  <c r="O157" i="20"/>
  <c r="G137" i="20"/>
  <c r="G168" i="20" s="1"/>
  <c r="E7" i="24" s="1"/>
  <c r="G133" i="20"/>
  <c r="G164" i="20" s="1"/>
  <c r="E3" i="24" s="1"/>
  <c r="G132" i="20"/>
  <c r="G163" i="20" s="1"/>
  <c r="J147" i="20"/>
  <c r="J178" i="20" s="1"/>
  <c r="O155" i="20"/>
  <c r="O186" i="20" s="1"/>
  <c r="M22" i="24" s="1"/>
  <c r="O149" i="20"/>
  <c r="O180" i="20" s="1"/>
  <c r="M17" i="24" s="1"/>
  <c r="O152" i="20"/>
  <c r="O183" i="20" s="1"/>
  <c r="M20" i="24" s="1"/>
  <c r="O153" i="20"/>
  <c r="O184" i="20" s="1"/>
  <c r="M21" i="24" s="1"/>
  <c r="G140" i="20"/>
  <c r="G171" i="20" s="1"/>
  <c r="E9" i="24" s="1"/>
  <c r="G143" i="20"/>
  <c r="G174" i="20" s="1"/>
  <c r="E12" i="24" s="1"/>
  <c r="G139" i="20"/>
  <c r="G170" i="20" s="1"/>
  <c r="J149" i="20"/>
  <c r="J180" i="20" s="1"/>
  <c r="H17" i="24" s="1"/>
  <c r="O148" i="20"/>
  <c r="O179" i="20" s="1"/>
  <c r="M16" i="24" s="1"/>
  <c r="O158" i="20"/>
  <c r="O189" i="20" s="1"/>
  <c r="M25" i="24" s="1"/>
  <c r="G138" i="20"/>
  <c r="G169" i="20" s="1"/>
  <c r="E8" i="24" s="1"/>
  <c r="G134" i="20"/>
  <c r="G165" i="20" s="1"/>
  <c r="E4" i="24" s="1"/>
  <c r="G136" i="20"/>
  <c r="G167" i="20" s="1"/>
  <c r="E6" i="24" s="1"/>
  <c r="F115" i="20"/>
  <c r="D144" i="20"/>
  <c r="D145" i="20" s="1"/>
  <c r="L149" i="20"/>
  <c r="L180" i="20" s="1"/>
  <c r="J17" i="24" s="1"/>
  <c r="L151" i="20"/>
  <c r="L182" i="20" s="1"/>
  <c r="J19" i="24" s="1"/>
  <c r="N114" i="20"/>
  <c r="F158" i="20"/>
  <c r="F189" i="20" s="1"/>
  <c r="D25" i="24" s="1"/>
  <c r="L115" i="20"/>
  <c r="F147" i="20"/>
  <c r="F178" i="20" s="1"/>
  <c r="L156" i="20"/>
  <c r="L187" i="20" s="1"/>
  <c r="J23" i="24" s="1"/>
  <c r="L147" i="20"/>
  <c r="L178" i="20" s="1"/>
  <c r="I137" i="20"/>
  <c r="I168" i="20" s="1"/>
  <c r="G7" i="24" s="1"/>
  <c r="F154" i="20"/>
  <c r="F185" i="20" s="1"/>
  <c r="F150" i="20"/>
  <c r="L152" i="20"/>
  <c r="L183" i="20" s="1"/>
  <c r="J20" i="24" s="1"/>
  <c r="N139" i="20"/>
  <c r="N170" i="20" s="1"/>
  <c r="L153" i="20"/>
  <c r="L184" i="20" s="1"/>
  <c r="J21" i="24" s="1"/>
  <c r="F151" i="20"/>
  <c r="F182" i="20" s="1"/>
  <c r="D19" i="24" s="1"/>
  <c r="F156" i="20"/>
  <c r="F187" i="20" s="1"/>
  <c r="D23" i="24" s="1"/>
  <c r="F152" i="20"/>
  <c r="F183" i="20" s="1"/>
  <c r="D20" i="24" s="1"/>
  <c r="L155" i="20"/>
  <c r="L186" i="20" s="1"/>
  <c r="J22" i="24" s="1"/>
  <c r="L154" i="20"/>
  <c r="L185" i="20" s="1"/>
  <c r="L150" i="20"/>
  <c r="L148" i="20"/>
  <c r="L179" i="20" s="1"/>
  <c r="J16" i="24" s="1"/>
  <c r="N136" i="20"/>
  <c r="N167" i="20" s="1"/>
  <c r="L6" i="24" s="1"/>
  <c r="N140" i="20"/>
  <c r="N171" i="20" s="1"/>
  <c r="L9" i="24" s="1"/>
  <c r="N133" i="20"/>
  <c r="N164" i="20" s="1"/>
  <c r="L3" i="24" s="1"/>
  <c r="N138" i="20"/>
  <c r="N169" i="20" s="1"/>
  <c r="L8" i="24" s="1"/>
  <c r="F148" i="20"/>
  <c r="F179" i="20" s="1"/>
  <c r="D16" i="24" s="1"/>
  <c r="F155" i="20"/>
  <c r="F186" i="20" s="1"/>
  <c r="D22" i="24" s="1"/>
  <c r="F157" i="20"/>
  <c r="F252" i="20" s="1"/>
  <c r="N135" i="20"/>
  <c r="N141" i="20"/>
  <c r="N172" i="20" s="1"/>
  <c r="L10" i="24" s="1"/>
  <c r="N134" i="20"/>
  <c r="N165" i="20" s="1"/>
  <c r="L4" i="24" s="1"/>
  <c r="N143" i="20"/>
  <c r="N174" i="20" s="1"/>
  <c r="L12" i="24" s="1"/>
  <c r="N132" i="20"/>
  <c r="N137" i="20"/>
  <c r="N168" i="20" s="1"/>
  <c r="L7" i="24" s="1"/>
  <c r="O159" i="4"/>
  <c r="O190" i="4" s="1"/>
  <c r="M26" i="25" s="1"/>
  <c r="J156" i="20"/>
  <c r="J187" i="20" s="1"/>
  <c r="H23" i="24" s="1"/>
  <c r="J148" i="20"/>
  <c r="J179" i="20" s="1"/>
  <c r="H16" i="24" s="1"/>
  <c r="J155" i="20"/>
  <c r="J186" i="20" s="1"/>
  <c r="H22" i="24" s="1"/>
  <c r="J152" i="20"/>
  <c r="J183" i="20" s="1"/>
  <c r="H20" i="24" s="1"/>
  <c r="J158" i="20"/>
  <c r="J189" i="20" s="1"/>
  <c r="H25" i="24" s="1"/>
  <c r="J151" i="20"/>
  <c r="J182" i="20" s="1"/>
  <c r="H19" i="24" s="1"/>
  <c r="J153" i="20"/>
  <c r="J184" i="20" s="1"/>
  <c r="H21" i="24" s="1"/>
  <c r="I133" i="20"/>
  <c r="I164" i="20" s="1"/>
  <c r="G3" i="24" s="1"/>
  <c r="J150" i="20"/>
  <c r="J157" i="20"/>
  <c r="I143" i="20"/>
  <c r="I174" i="20" s="1"/>
  <c r="G12" i="24" s="1"/>
  <c r="I142" i="20"/>
  <c r="I138" i="20"/>
  <c r="I169" i="20" s="1"/>
  <c r="G8" i="24" s="1"/>
  <c r="I135" i="20"/>
  <c r="I132" i="20"/>
  <c r="I163" i="20" s="1"/>
  <c r="I141" i="20"/>
  <c r="I172" i="20" s="1"/>
  <c r="G10" i="24" s="1"/>
  <c r="I140" i="20"/>
  <c r="I171" i="20" s="1"/>
  <c r="G9" i="24" s="1"/>
  <c r="I114" i="20"/>
  <c r="I136" i="20"/>
  <c r="I167" i="20" s="1"/>
  <c r="G6" i="24" s="1"/>
  <c r="I134" i="20"/>
  <c r="I165" i="20" s="1"/>
  <c r="G4" i="24" s="1"/>
  <c r="N155" i="20"/>
  <c r="N186" i="20" s="1"/>
  <c r="L22" i="24" s="1"/>
  <c r="N152" i="20"/>
  <c r="N183" i="20" s="1"/>
  <c r="L20" i="24" s="1"/>
  <c r="N147" i="20"/>
  <c r="N148" i="20"/>
  <c r="N179" i="20" s="1"/>
  <c r="L16" i="24" s="1"/>
  <c r="N150" i="20"/>
  <c r="N151" i="20"/>
  <c r="N182" i="20" s="1"/>
  <c r="L19" i="24" s="1"/>
  <c r="N115" i="20"/>
  <c r="N156" i="20"/>
  <c r="N187" i="20" s="1"/>
  <c r="L23" i="24" s="1"/>
  <c r="N158" i="20"/>
  <c r="N189" i="20" s="1"/>
  <c r="L25" i="24" s="1"/>
  <c r="N153" i="20"/>
  <c r="N184" i="20" s="1"/>
  <c r="L21" i="24" s="1"/>
  <c r="N157" i="20"/>
  <c r="N154" i="20"/>
  <c r="N185" i="20" s="1"/>
  <c r="N149" i="20"/>
  <c r="N180" i="20" s="1"/>
  <c r="L17" i="24" s="1"/>
  <c r="A113" i="20"/>
  <c r="A115" i="20" s="1"/>
  <c r="J141" i="20"/>
  <c r="J172" i="20" s="1"/>
  <c r="H10" i="24" s="1"/>
  <c r="J136" i="20"/>
  <c r="J167" i="20" s="1"/>
  <c r="H6" i="24" s="1"/>
  <c r="J140" i="20"/>
  <c r="J171" i="20" s="1"/>
  <c r="H9" i="24" s="1"/>
  <c r="J139" i="20"/>
  <c r="J170" i="20" s="1"/>
  <c r="J114" i="20"/>
  <c r="J135" i="20"/>
  <c r="J137" i="20"/>
  <c r="J168" i="20" s="1"/>
  <c r="H7" i="24" s="1"/>
  <c r="J134" i="20"/>
  <c r="J165" i="20" s="1"/>
  <c r="H4" i="24" s="1"/>
  <c r="J143" i="20"/>
  <c r="J174" i="20" s="1"/>
  <c r="H12" i="24" s="1"/>
  <c r="J142" i="20"/>
  <c r="J132" i="20"/>
  <c r="J133" i="20"/>
  <c r="J164" i="20" s="1"/>
  <c r="H3" i="24" s="1"/>
  <c r="J138" i="20"/>
  <c r="J169" i="20" s="1"/>
  <c r="H8" i="24" s="1"/>
  <c r="O137" i="20"/>
  <c r="O168" i="20" s="1"/>
  <c r="M7" i="24" s="1"/>
  <c r="O134" i="20"/>
  <c r="O165" i="20" s="1"/>
  <c r="M4" i="24" s="1"/>
  <c r="O138" i="20"/>
  <c r="O169" i="20" s="1"/>
  <c r="M8" i="24" s="1"/>
  <c r="O139" i="20"/>
  <c r="O170" i="20" s="1"/>
  <c r="O136" i="20"/>
  <c r="O167" i="20" s="1"/>
  <c r="M6" i="24" s="1"/>
  <c r="O114" i="20"/>
  <c r="O140" i="20"/>
  <c r="O171" i="20" s="1"/>
  <c r="M9" i="24" s="1"/>
  <c r="O133" i="20"/>
  <c r="O164" i="20" s="1"/>
  <c r="M3" i="24" s="1"/>
  <c r="O135" i="20"/>
  <c r="O141" i="20"/>
  <c r="O172" i="20" s="1"/>
  <c r="M10" i="24" s="1"/>
  <c r="O143" i="20"/>
  <c r="O174" i="20" s="1"/>
  <c r="M12" i="24" s="1"/>
  <c r="O142" i="20"/>
  <c r="O132" i="20"/>
  <c r="M136" i="20"/>
  <c r="M167" i="20" s="1"/>
  <c r="K6" i="24" s="1"/>
  <c r="M142" i="20"/>
  <c r="M132" i="20"/>
  <c r="M139" i="20"/>
  <c r="M170" i="20" s="1"/>
  <c r="M133" i="20"/>
  <c r="M114" i="20"/>
  <c r="M134" i="20"/>
  <c r="M165" i="20" s="1"/>
  <c r="K4" i="24" s="1"/>
  <c r="M137" i="20"/>
  <c r="M168" i="20" s="1"/>
  <c r="K7" i="24" s="1"/>
  <c r="M143" i="20"/>
  <c r="M174" i="20" s="1"/>
  <c r="K12" i="24" s="1"/>
  <c r="M138" i="20"/>
  <c r="M169" i="20" s="1"/>
  <c r="K8" i="24" s="1"/>
  <c r="M135" i="20"/>
  <c r="M140" i="20"/>
  <c r="M171" i="20" s="1"/>
  <c r="K9" i="24" s="1"/>
  <c r="M141" i="20"/>
  <c r="M172" i="20" s="1"/>
  <c r="K10" i="24" s="1"/>
  <c r="D178" i="20"/>
  <c r="D159" i="20"/>
  <c r="H140" i="20"/>
  <c r="H171" i="20" s="1"/>
  <c r="F9" i="24" s="1"/>
  <c r="H133" i="20"/>
  <c r="H164" i="20" s="1"/>
  <c r="F3" i="24" s="1"/>
  <c r="H134" i="20"/>
  <c r="H165" i="20" s="1"/>
  <c r="F4" i="24" s="1"/>
  <c r="H135" i="20"/>
  <c r="H139" i="20"/>
  <c r="H170" i="20" s="1"/>
  <c r="H143" i="20"/>
  <c r="H174" i="20" s="1"/>
  <c r="F12" i="24" s="1"/>
  <c r="H138" i="20"/>
  <c r="H169" i="20" s="1"/>
  <c r="F8" i="24" s="1"/>
  <c r="H141" i="20"/>
  <c r="H172" i="20" s="1"/>
  <c r="F10" i="24" s="1"/>
  <c r="H136" i="20"/>
  <c r="H167" i="20" s="1"/>
  <c r="F6" i="24" s="1"/>
  <c r="H132" i="20"/>
  <c r="H137" i="20"/>
  <c r="H168" i="20" s="1"/>
  <c r="F7" i="24" s="1"/>
  <c r="H114" i="20"/>
  <c r="H142" i="20"/>
  <c r="A112" i="20"/>
  <c r="P216" i="20" l="1"/>
  <c r="Q216" i="20" s="1"/>
  <c r="D24" i="31" s="1"/>
  <c r="P264" i="20"/>
  <c r="Q264" i="20" s="1"/>
  <c r="B10" i="31" s="1"/>
  <c r="P260" i="20"/>
  <c r="Q260" i="20" s="1"/>
  <c r="B6" i="31" s="1"/>
  <c r="P225" i="20"/>
  <c r="Q225" i="20" s="1"/>
  <c r="B49" i="31" s="1"/>
  <c r="P229" i="20"/>
  <c r="Q229" i="20" s="1"/>
  <c r="B53" i="31" s="1"/>
  <c r="P234" i="20"/>
  <c r="Q234" i="20" s="1"/>
  <c r="B58" i="31" s="1"/>
  <c r="F206" i="20"/>
  <c r="F207" i="20" s="1"/>
  <c r="P194" i="20"/>
  <c r="Q194" i="20" s="1"/>
  <c r="B17" i="31" s="1"/>
  <c r="P198" i="20"/>
  <c r="Q198" i="20" s="1"/>
  <c r="B21" i="31" s="1"/>
  <c r="P281" i="20"/>
  <c r="Q281" i="20" s="1"/>
  <c r="D13" i="31" s="1"/>
  <c r="E253" i="20"/>
  <c r="E254" i="20" s="1"/>
  <c r="P290" i="20"/>
  <c r="Q290" i="20" s="1"/>
  <c r="B39" i="31" s="1"/>
  <c r="P294" i="20"/>
  <c r="Q294" i="20" s="1"/>
  <c r="B43" i="31" s="1"/>
  <c r="P226" i="20"/>
  <c r="Q226" i="20" s="1"/>
  <c r="B50" i="31" s="1"/>
  <c r="P230" i="20"/>
  <c r="Q230" i="20" s="1"/>
  <c r="B54" i="31" s="1"/>
  <c r="P248" i="20"/>
  <c r="Q248" i="20" s="1"/>
  <c r="D57" i="31" s="1"/>
  <c r="P247" i="20"/>
  <c r="Q247" i="20" s="1"/>
  <c r="D56" i="31" s="1"/>
  <c r="P289" i="20"/>
  <c r="Q289" i="20" s="1"/>
  <c r="B38" i="31" s="1"/>
  <c r="P293" i="20"/>
  <c r="Q293" i="20" s="1"/>
  <c r="B42" i="31" s="1"/>
  <c r="P302" i="20"/>
  <c r="Q302" i="20" s="1"/>
  <c r="D37" i="31" s="1"/>
  <c r="P306" i="20"/>
  <c r="Q306" i="20" s="1"/>
  <c r="D41" i="31" s="1"/>
  <c r="P236" i="20"/>
  <c r="Q236" i="20" s="1"/>
  <c r="B60" i="31" s="1"/>
  <c r="P235" i="20"/>
  <c r="Q235" i="20" s="1"/>
  <c r="B59" i="31" s="1"/>
  <c r="P210" i="20"/>
  <c r="Q210" i="20" s="1"/>
  <c r="D18" i="31" s="1"/>
  <c r="P214" i="20"/>
  <c r="Q214" i="20" s="1"/>
  <c r="D22" i="31" s="1"/>
  <c r="P218" i="20"/>
  <c r="Q218" i="20" s="1"/>
  <c r="D26" i="31" s="1"/>
  <c r="P279" i="20"/>
  <c r="Q279" i="20" s="1"/>
  <c r="D11" i="31" s="1"/>
  <c r="P273" i="20"/>
  <c r="Q273" i="20" s="1"/>
  <c r="D5" i="31" s="1"/>
  <c r="P277" i="20"/>
  <c r="Q277" i="20" s="1"/>
  <c r="D9" i="31" s="1"/>
  <c r="P233" i="20"/>
  <c r="Q233" i="20" s="1"/>
  <c r="B57" i="31" s="1"/>
  <c r="P243" i="20"/>
  <c r="Q243" i="20" s="1"/>
  <c r="D52" i="31" s="1"/>
  <c r="P196" i="20"/>
  <c r="Q196" i="20" s="1"/>
  <c r="B19" i="31" s="1"/>
  <c r="P200" i="20"/>
  <c r="Q200" i="20" s="1"/>
  <c r="B23" i="31" s="1"/>
  <c r="P262" i="20"/>
  <c r="Q262" i="20" s="1"/>
  <c r="B8" i="31" s="1"/>
  <c r="P275" i="20"/>
  <c r="Q275" i="20" s="1"/>
  <c r="D7" i="31" s="1"/>
  <c r="P245" i="20"/>
  <c r="Q245" i="20" s="1"/>
  <c r="D54" i="31" s="1"/>
  <c r="P291" i="20"/>
  <c r="Q291" i="20" s="1"/>
  <c r="B40" i="31" s="1"/>
  <c r="P308" i="20"/>
  <c r="Q308" i="20" s="1"/>
  <c r="D43" i="31" s="1"/>
  <c r="P228" i="20"/>
  <c r="Q228" i="20" s="1"/>
  <c r="B52" i="31" s="1"/>
  <c r="P232" i="20"/>
  <c r="Q232" i="20" s="1"/>
  <c r="B56" i="31" s="1"/>
  <c r="P311" i="20"/>
  <c r="Q311" i="20" s="1"/>
  <c r="D46" i="31" s="1"/>
  <c r="P310" i="20"/>
  <c r="Q310" i="20" s="1"/>
  <c r="D45" i="31" s="1"/>
  <c r="P309" i="20"/>
  <c r="Q309" i="20" s="1"/>
  <c r="D44" i="31" s="1"/>
  <c r="F238" i="20"/>
  <c r="F239" i="20" s="1"/>
  <c r="M269" i="20"/>
  <c r="P195" i="20"/>
  <c r="Q195" i="20" s="1"/>
  <c r="B18" i="31" s="1"/>
  <c r="P199" i="20"/>
  <c r="Q199" i="20" s="1"/>
  <c r="B22" i="31" s="1"/>
  <c r="P203" i="20"/>
  <c r="Q203" i="20" s="1"/>
  <c r="B26" i="31" s="1"/>
  <c r="P201" i="20"/>
  <c r="Q201" i="20" s="1"/>
  <c r="B24" i="31" s="1"/>
  <c r="P211" i="20"/>
  <c r="Q211" i="20" s="1"/>
  <c r="D19" i="31" s="1"/>
  <c r="P215" i="20"/>
  <c r="Q215" i="20" s="1"/>
  <c r="D23" i="31" s="1"/>
  <c r="P266" i="20"/>
  <c r="Q266" i="20" s="1"/>
  <c r="B12" i="31" s="1"/>
  <c r="P257" i="20"/>
  <c r="Q257" i="20" s="1"/>
  <c r="B3" i="31" s="1"/>
  <c r="P261" i="20"/>
  <c r="Q261" i="20" s="1"/>
  <c r="B7" i="31" s="1"/>
  <c r="P268" i="20"/>
  <c r="Q268" i="20" s="1"/>
  <c r="B14" i="31" s="1"/>
  <c r="P274" i="20"/>
  <c r="Q274" i="20" s="1"/>
  <c r="D6" i="31" s="1"/>
  <c r="P278" i="20"/>
  <c r="Q278" i="20" s="1"/>
  <c r="D10" i="31" s="1"/>
  <c r="P227" i="20"/>
  <c r="Q227" i="20" s="1"/>
  <c r="B51" i="31" s="1"/>
  <c r="P296" i="20"/>
  <c r="Q296" i="20" s="1"/>
  <c r="B45" i="31" s="1"/>
  <c r="P217" i="20"/>
  <c r="Q217" i="20" s="1"/>
  <c r="D25" i="31" s="1"/>
  <c r="P212" i="20"/>
  <c r="Q212" i="20" s="1"/>
  <c r="D20" i="31" s="1"/>
  <c r="P219" i="20"/>
  <c r="Q219" i="20" s="1"/>
  <c r="D27" i="31" s="1"/>
  <c r="P280" i="20"/>
  <c r="Q280" i="20" s="1"/>
  <c r="D12" i="31" s="1"/>
  <c r="P258" i="20"/>
  <c r="Q258" i="20" s="1"/>
  <c r="B4" i="31" s="1"/>
  <c r="P271" i="20"/>
  <c r="Q271" i="20" s="1"/>
  <c r="D3" i="31" s="1"/>
  <c r="P282" i="20"/>
  <c r="Q282" i="20" s="1"/>
  <c r="D14" i="31" s="1"/>
  <c r="P197" i="20"/>
  <c r="Q197" i="20" s="1"/>
  <c r="B20" i="31" s="1"/>
  <c r="P204" i="20"/>
  <c r="Q204" i="20" s="1"/>
  <c r="B27" i="31" s="1"/>
  <c r="P202" i="20"/>
  <c r="Q202" i="20" s="1"/>
  <c r="B25" i="31" s="1"/>
  <c r="P209" i="20"/>
  <c r="Q209" i="20" s="1"/>
  <c r="D17" i="31" s="1"/>
  <c r="P213" i="20"/>
  <c r="Q213" i="20" s="1"/>
  <c r="D21" i="31" s="1"/>
  <c r="P267" i="20"/>
  <c r="Q267" i="20" s="1"/>
  <c r="B13" i="31" s="1"/>
  <c r="P265" i="20"/>
  <c r="Q265" i="20" s="1"/>
  <c r="B11" i="31" s="1"/>
  <c r="P259" i="20"/>
  <c r="Q259" i="20" s="1"/>
  <c r="B5" i="31" s="1"/>
  <c r="P263" i="20"/>
  <c r="Q263" i="20" s="1"/>
  <c r="B9" i="31" s="1"/>
  <c r="P272" i="20"/>
  <c r="Q272" i="20" s="1"/>
  <c r="D4" i="31" s="1"/>
  <c r="P276" i="20"/>
  <c r="Q276" i="20" s="1"/>
  <c r="D8" i="31" s="1"/>
  <c r="I206" i="20"/>
  <c r="I207" i="20" s="1"/>
  <c r="P241" i="20"/>
  <c r="Q241" i="20" s="1"/>
  <c r="D50" i="31" s="1"/>
  <c r="P287" i="20"/>
  <c r="Q287" i="20" s="1"/>
  <c r="B36" i="31" s="1"/>
  <c r="P298" i="20"/>
  <c r="Q298" i="20" s="1"/>
  <c r="B47" i="31" s="1"/>
  <c r="P304" i="20"/>
  <c r="Q304" i="20" s="1"/>
  <c r="D39" i="31" s="1"/>
  <c r="P231" i="20"/>
  <c r="Q231" i="20" s="1"/>
  <c r="B55" i="31" s="1"/>
  <c r="P297" i="20"/>
  <c r="Q297" i="20" s="1"/>
  <c r="B46" i="31" s="1"/>
  <c r="P295" i="20"/>
  <c r="Q295" i="20" s="1"/>
  <c r="B44" i="31" s="1"/>
  <c r="E206" i="20"/>
  <c r="E207" i="20" s="1"/>
  <c r="N206" i="20"/>
  <c r="N207" i="20" s="1"/>
  <c r="P244" i="20"/>
  <c r="Q244" i="20" s="1"/>
  <c r="D53" i="31" s="1"/>
  <c r="P251" i="20"/>
  <c r="Q251" i="20" s="1"/>
  <c r="D60" i="31" s="1"/>
  <c r="P303" i="20"/>
  <c r="Q303" i="20" s="1"/>
  <c r="D38" i="31" s="1"/>
  <c r="P307" i="20"/>
  <c r="Q307" i="20" s="1"/>
  <c r="D42" i="31" s="1"/>
  <c r="P250" i="20"/>
  <c r="Q250" i="20" s="1"/>
  <c r="D59" i="31" s="1"/>
  <c r="P249" i="20"/>
  <c r="Q249" i="20" s="1"/>
  <c r="D58" i="31" s="1"/>
  <c r="P242" i="20"/>
  <c r="Q242" i="20" s="1"/>
  <c r="D51" i="31" s="1"/>
  <c r="P246" i="20"/>
  <c r="Q246" i="20" s="1"/>
  <c r="D55" i="31" s="1"/>
  <c r="P288" i="20"/>
  <c r="Q288" i="20" s="1"/>
  <c r="B37" i="31" s="1"/>
  <c r="P292" i="20"/>
  <c r="Q292" i="20" s="1"/>
  <c r="B41" i="31" s="1"/>
  <c r="P305" i="20"/>
  <c r="Q305" i="20" s="1"/>
  <c r="D40" i="31" s="1"/>
  <c r="P312" i="20"/>
  <c r="Q312" i="20" s="1"/>
  <c r="D47" i="31" s="1"/>
  <c r="M173" i="20"/>
  <c r="K11" i="24" s="1"/>
  <c r="M220" i="20"/>
  <c r="F181" i="20"/>
  <c r="D18" i="24" s="1"/>
  <c r="F237" i="20"/>
  <c r="O181" i="20"/>
  <c r="M18" i="24" s="1"/>
  <c r="O237" i="20"/>
  <c r="M188" i="20"/>
  <c r="K24" i="24" s="1"/>
  <c r="M252" i="20"/>
  <c r="E166" i="20"/>
  <c r="C5" i="24" s="1"/>
  <c r="E205" i="20"/>
  <c r="K173" i="20"/>
  <c r="I11" i="24" s="1"/>
  <c r="K220" i="20"/>
  <c r="K166" i="20"/>
  <c r="I5" i="24" s="1"/>
  <c r="K205" i="20"/>
  <c r="F173" i="20"/>
  <c r="D11" i="24" s="1"/>
  <c r="F220" i="20"/>
  <c r="K181" i="20"/>
  <c r="I18" i="24" s="1"/>
  <c r="K237" i="20"/>
  <c r="D239" i="20"/>
  <c r="B3" i="24"/>
  <c r="B17" i="24"/>
  <c r="O17" i="24" s="1"/>
  <c r="P180" i="20"/>
  <c r="E181" i="20"/>
  <c r="C18" i="24" s="1"/>
  <c r="E237" i="20"/>
  <c r="B9" i="24"/>
  <c r="O9" i="24" s="1"/>
  <c r="P171" i="20"/>
  <c r="M253" i="20"/>
  <c r="M254" i="20" s="1"/>
  <c r="K269" i="20"/>
  <c r="K270" i="20" s="1"/>
  <c r="I253" i="20"/>
  <c r="I254" i="20" s="1"/>
  <c r="J206" i="20"/>
  <c r="J207" i="20" s="1"/>
  <c r="P148" i="20"/>
  <c r="L269" i="20"/>
  <c r="L270" i="20" s="1"/>
  <c r="O253" i="20"/>
  <c r="O254" i="20" s="1"/>
  <c r="J238" i="20"/>
  <c r="J239" i="20" s="1"/>
  <c r="O221" i="20"/>
  <c r="O222" i="20" s="1"/>
  <c r="O283" i="20"/>
  <c r="O284" i="20" s="1"/>
  <c r="E238" i="20"/>
  <c r="E239" i="20" s="1"/>
  <c r="E313" i="20"/>
  <c r="E314" i="20" s="1"/>
  <c r="F269" i="20"/>
  <c r="F270" i="20" s="1"/>
  <c r="F253" i="20"/>
  <c r="F254" i="20" s="1"/>
  <c r="I269" i="20"/>
  <c r="I270" i="20" s="1"/>
  <c r="N313" i="20"/>
  <c r="N314" i="20" s="1"/>
  <c r="M221" i="20"/>
  <c r="M222" i="20" s="1"/>
  <c r="M283" i="20"/>
  <c r="M284" i="20" s="1"/>
  <c r="K253" i="20"/>
  <c r="K254" i="20" s="1"/>
  <c r="G299" i="20"/>
  <c r="G300" i="20" s="1"/>
  <c r="H253" i="20"/>
  <c r="H254" i="20" s="1"/>
  <c r="E269" i="20"/>
  <c r="E270" i="20" s="1"/>
  <c r="L313" i="20"/>
  <c r="L314" i="20" s="1"/>
  <c r="N269" i="20"/>
  <c r="N270" i="20" s="1"/>
  <c r="H221" i="20"/>
  <c r="H222" i="20" s="1"/>
  <c r="H283" i="20"/>
  <c r="H284" i="20" s="1"/>
  <c r="M166" i="20"/>
  <c r="K5" i="24" s="1"/>
  <c r="M205" i="20"/>
  <c r="O173" i="20"/>
  <c r="M11" i="24" s="1"/>
  <c r="O220" i="20"/>
  <c r="N188" i="20"/>
  <c r="L24" i="24" s="1"/>
  <c r="N252" i="20"/>
  <c r="I173" i="20"/>
  <c r="G11" i="24" s="1"/>
  <c r="I220" i="20"/>
  <c r="L181" i="20"/>
  <c r="J18" i="24" s="1"/>
  <c r="L237" i="20"/>
  <c r="M181" i="20"/>
  <c r="K18" i="24" s="1"/>
  <c r="M237" i="20"/>
  <c r="I188" i="20"/>
  <c r="G24" i="24" s="1"/>
  <c r="I252" i="20"/>
  <c r="G188" i="20"/>
  <c r="E24" i="24" s="1"/>
  <c r="G252" i="20"/>
  <c r="G181" i="20"/>
  <c r="E18" i="24" s="1"/>
  <c r="G237" i="20"/>
  <c r="H181" i="20"/>
  <c r="F18" i="24" s="1"/>
  <c r="H237" i="20"/>
  <c r="B23" i="24"/>
  <c r="O23" i="24" s="1"/>
  <c r="P187" i="20"/>
  <c r="D300" i="20"/>
  <c r="D222" i="20"/>
  <c r="P133" i="20"/>
  <c r="M238" i="20"/>
  <c r="M239" i="20" s="1"/>
  <c r="I238" i="20"/>
  <c r="I239" i="20" s="1"/>
  <c r="J221" i="20"/>
  <c r="J222" i="20" s="1"/>
  <c r="J283" i="20"/>
  <c r="J284" i="20" s="1"/>
  <c r="P240" i="20"/>
  <c r="Q240" i="20" s="1"/>
  <c r="D49" i="31" s="1"/>
  <c r="O238" i="20"/>
  <c r="O239" i="20" s="1"/>
  <c r="J313" i="20"/>
  <c r="J314" i="20" s="1"/>
  <c r="O269" i="20"/>
  <c r="O270" i="20" s="1"/>
  <c r="P149" i="20"/>
  <c r="E299" i="20"/>
  <c r="E300" i="20" s="1"/>
  <c r="G206" i="20"/>
  <c r="G207" i="20" s="1"/>
  <c r="N299" i="20"/>
  <c r="N300" i="20" s="1"/>
  <c r="M270" i="20"/>
  <c r="P140" i="20"/>
  <c r="K238" i="20"/>
  <c r="K239" i="20" s="1"/>
  <c r="G253" i="20"/>
  <c r="G254" i="20" s="1"/>
  <c r="H238" i="20"/>
  <c r="H239" i="20" s="1"/>
  <c r="L299" i="20"/>
  <c r="L300" i="20" s="1"/>
  <c r="H269" i="20"/>
  <c r="H270" i="20" s="1"/>
  <c r="H173" i="20"/>
  <c r="F11" i="24" s="1"/>
  <c r="H220" i="20"/>
  <c r="J173" i="20"/>
  <c r="H11" i="24" s="1"/>
  <c r="J220" i="20"/>
  <c r="J166" i="20"/>
  <c r="H5" i="24" s="1"/>
  <c r="J205" i="20"/>
  <c r="J181" i="20"/>
  <c r="H18" i="24" s="1"/>
  <c r="J237" i="20"/>
  <c r="O188" i="20"/>
  <c r="M24" i="24" s="1"/>
  <c r="O252" i="20"/>
  <c r="L188" i="20"/>
  <c r="J24" i="24" s="1"/>
  <c r="L252" i="20"/>
  <c r="E173" i="20"/>
  <c r="C11" i="24" s="1"/>
  <c r="E220" i="20"/>
  <c r="L173" i="20"/>
  <c r="J11" i="24" s="1"/>
  <c r="L220" i="20"/>
  <c r="F166" i="20"/>
  <c r="D5" i="24" s="1"/>
  <c r="F205" i="20"/>
  <c r="H188" i="20"/>
  <c r="F24" i="24" s="1"/>
  <c r="H252" i="20"/>
  <c r="G166" i="20"/>
  <c r="E5" i="24" s="1"/>
  <c r="G205" i="20"/>
  <c r="B10" i="24"/>
  <c r="O10" i="24" s="1"/>
  <c r="P172" i="20"/>
  <c r="B4" i="24"/>
  <c r="O4" i="24" s="1"/>
  <c r="P165" i="20"/>
  <c r="D254" i="20"/>
  <c r="B22" i="24"/>
  <c r="O22" i="24" s="1"/>
  <c r="P186" i="20"/>
  <c r="D314" i="20"/>
  <c r="D207" i="20"/>
  <c r="N173" i="20"/>
  <c r="L11" i="24" s="1"/>
  <c r="N220" i="20"/>
  <c r="M313" i="20"/>
  <c r="M314" i="20" s="1"/>
  <c r="K206" i="20"/>
  <c r="K207" i="20" s="1"/>
  <c r="I313" i="20"/>
  <c r="I314" i="20" s="1"/>
  <c r="J269" i="20"/>
  <c r="J270" i="20" s="1"/>
  <c r="P156" i="20"/>
  <c r="L206" i="20"/>
  <c r="L207" i="20" s="1"/>
  <c r="O313" i="20"/>
  <c r="O314" i="20" s="1"/>
  <c r="J299" i="20"/>
  <c r="J300" i="20" s="1"/>
  <c r="P208" i="20"/>
  <c r="Q208" i="20" s="1"/>
  <c r="D16" i="31" s="1"/>
  <c r="G221" i="20"/>
  <c r="G222" i="20" s="1"/>
  <c r="G283" i="20"/>
  <c r="G284" i="20" s="1"/>
  <c r="F313" i="20"/>
  <c r="F314" i="20" s="1"/>
  <c r="N253" i="20"/>
  <c r="N254" i="20" s="1"/>
  <c r="K313" i="20"/>
  <c r="K314" i="20" s="1"/>
  <c r="G238" i="20"/>
  <c r="G239" i="20" s="1"/>
  <c r="H313" i="20"/>
  <c r="H314" i="20" s="1"/>
  <c r="L253" i="20"/>
  <c r="L254" i="20" s="1"/>
  <c r="H166" i="20"/>
  <c r="F5" i="24" s="1"/>
  <c r="H205" i="20"/>
  <c r="O166" i="20"/>
  <c r="M5" i="24" s="1"/>
  <c r="O205" i="20"/>
  <c r="M164" i="20"/>
  <c r="K3" i="24" s="1"/>
  <c r="C296" i="20"/>
  <c r="N181" i="20"/>
  <c r="L18" i="24" s="1"/>
  <c r="N237" i="20"/>
  <c r="I166" i="20"/>
  <c r="G5" i="24" s="1"/>
  <c r="I205" i="20"/>
  <c r="J188" i="20"/>
  <c r="H24" i="24" s="1"/>
  <c r="J252" i="20"/>
  <c r="N166" i="20"/>
  <c r="L5" i="24" s="1"/>
  <c r="N205" i="20"/>
  <c r="L166" i="20"/>
  <c r="J5" i="24" s="1"/>
  <c r="L205" i="20"/>
  <c r="E188" i="20"/>
  <c r="C24" i="24" s="1"/>
  <c r="E252" i="20"/>
  <c r="I181" i="20"/>
  <c r="G18" i="24" s="1"/>
  <c r="I237" i="20"/>
  <c r="K188" i="20"/>
  <c r="I24" i="24" s="1"/>
  <c r="K252" i="20"/>
  <c r="B16" i="24"/>
  <c r="O16" i="24" s="1"/>
  <c r="P179" i="20"/>
  <c r="D270" i="20"/>
  <c r="D284" i="20"/>
  <c r="G173" i="20"/>
  <c r="E11" i="24" s="1"/>
  <c r="G220" i="20"/>
  <c r="P141" i="20"/>
  <c r="P134" i="20"/>
  <c r="M299" i="20"/>
  <c r="M300" i="20" s="1"/>
  <c r="K221" i="20"/>
  <c r="K222" i="20" s="1"/>
  <c r="K283" i="20"/>
  <c r="K284" i="20" s="1"/>
  <c r="I299" i="20"/>
  <c r="I300" i="20" s="1"/>
  <c r="L221" i="20"/>
  <c r="L222" i="20" s="1"/>
  <c r="L283" i="20"/>
  <c r="L284" i="20" s="1"/>
  <c r="O299" i="20"/>
  <c r="O300" i="20" s="1"/>
  <c r="J253" i="20"/>
  <c r="J254" i="20" s="1"/>
  <c r="P155" i="20"/>
  <c r="O206" i="20"/>
  <c r="O207" i="20" s="1"/>
  <c r="G269" i="20"/>
  <c r="G270" i="20" s="1"/>
  <c r="F221" i="20"/>
  <c r="F222" i="20" s="1"/>
  <c r="F283" i="20"/>
  <c r="F284" i="20" s="1"/>
  <c r="F299" i="20"/>
  <c r="F300" i="20" s="1"/>
  <c r="I221" i="20"/>
  <c r="I222" i="20" s="1"/>
  <c r="I283" i="20"/>
  <c r="I284" i="20" s="1"/>
  <c r="N238" i="20"/>
  <c r="N239" i="20" s="1"/>
  <c r="M206" i="20"/>
  <c r="M207" i="20" s="1"/>
  <c r="P301" i="20"/>
  <c r="Q301" i="20" s="1"/>
  <c r="D36" i="31" s="1"/>
  <c r="P193" i="20"/>
  <c r="Q193" i="20" s="1"/>
  <c r="B16" i="31" s="1"/>
  <c r="K299" i="20"/>
  <c r="K300" i="20" s="1"/>
  <c r="G313" i="20"/>
  <c r="G314" i="20" s="1"/>
  <c r="H299" i="20"/>
  <c r="H300" i="20" s="1"/>
  <c r="E221" i="20"/>
  <c r="E222" i="20" s="1"/>
  <c r="E283" i="20"/>
  <c r="E284" i="20" s="1"/>
  <c r="L238" i="20"/>
  <c r="L239" i="20" s="1"/>
  <c r="N221" i="20"/>
  <c r="N222" i="20" s="1"/>
  <c r="N283" i="20"/>
  <c r="N284" i="20" s="1"/>
  <c r="H206" i="20"/>
  <c r="H207" i="20" s="1"/>
  <c r="M313" i="4"/>
  <c r="M314" i="4" s="1"/>
  <c r="H269" i="4"/>
  <c r="H270" i="4" s="1"/>
  <c r="K299" i="4"/>
  <c r="K300" i="4" s="1"/>
  <c r="D180" i="4"/>
  <c r="D164" i="4"/>
  <c r="P133" i="4"/>
  <c r="M164" i="4"/>
  <c r="K3" i="25" s="1"/>
  <c r="C296" i="4"/>
  <c r="P198" i="4"/>
  <c r="Q198" i="4" s="1"/>
  <c r="C21" i="31" s="1"/>
  <c r="P196" i="4"/>
  <c r="Q196" i="4" s="1"/>
  <c r="C19" i="31" s="1"/>
  <c r="P211" i="4"/>
  <c r="Q211" i="4" s="1"/>
  <c r="E19" i="31" s="1"/>
  <c r="P210" i="4"/>
  <c r="Q210" i="4" s="1"/>
  <c r="E18" i="31" s="1"/>
  <c r="P209" i="4"/>
  <c r="Q209" i="4" s="1"/>
  <c r="E17" i="31" s="1"/>
  <c r="P208" i="4"/>
  <c r="Q208" i="4" s="1"/>
  <c r="E16" i="31" s="1"/>
  <c r="K283" i="4"/>
  <c r="K284" i="4" s="1"/>
  <c r="F299" i="4"/>
  <c r="F300" i="4" s="1"/>
  <c r="H313" i="4"/>
  <c r="H314" i="4" s="1"/>
  <c r="E299" i="4"/>
  <c r="E300" i="4" s="1"/>
  <c r="P261" i="4"/>
  <c r="Q261" i="4" s="1"/>
  <c r="C7" i="31" s="1"/>
  <c r="P265" i="4"/>
  <c r="Q265" i="4" s="1"/>
  <c r="C11" i="31" s="1"/>
  <c r="P266" i="4"/>
  <c r="Q266" i="4" s="1"/>
  <c r="C12" i="31" s="1"/>
  <c r="P260" i="4"/>
  <c r="Q260" i="4" s="1"/>
  <c r="C6" i="31" s="1"/>
  <c r="P276" i="4"/>
  <c r="Q276" i="4" s="1"/>
  <c r="E8" i="31" s="1"/>
  <c r="P267" i="4"/>
  <c r="Q267" i="4" s="1"/>
  <c r="C13" i="31" s="1"/>
  <c r="J269" i="4"/>
  <c r="J270" i="4" s="1"/>
  <c r="N283" i="4"/>
  <c r="N284" i="4" s="1"/>
  <c r="K313" i="4"/>
  <c r="K314" i="4" s="1"/>
  <c r="D186" i="4"/>
  <c r="D179" i="4"/>
  <c r="P195" i="4"/>
  <c r="Q195" i="4" s="1"/>
  <c r="C18" i="31" s="1"/>
  <c r="P200" i="4"/>
  <c r="Q200" i="4" s="1"/>
  <c r="C23" i="31" s="1"/>
  <c r="P141" i="4"/>
  <c r="P204" i="4"/>
  <c r="Q204" i="4" s="1"/>
  <c r="C27" i="31" s="1"/>
  <c r="P203" i="4"/>
  <c r="Q203" i="4" s="1"/>
  <c r="C26" i="31" s="1"/>
  <c r="P202" i="4"/>
  <c r="Q202" i="4" s="1"/>
  <c r="C25" i="31" s="1"/>
  <c r="G283" i="4"/>
  <c r="G284" i="4" s="1"/>
  <c r="M299" i="4"/>
  <c r="M300" i="4" s="1"/>
  <c r="L313" i="4"/>
  <c r="L314" i="4" s="1"/>
  <c r="O283" i="4"/>
  <c r="O284" i="4" s="1"/>
  <c r="F269" i="4"/>
  <c r="F270" i="4" s="1"/>
  <c r="L283" i="4"/>
  <c r="L284" i="4" s="1"/>
  <c r="P277" i="4"/>
  <c r="Q277" i="4" s="1"/>
  <c r="E9" i="31" s="1"/>
  <c r="P262" i="4"/>
  <c r="Q262" i="4" s="1"/>
  <c r="C8" i="31" s="1"/>
  <c r="P282" i="4"/>
  <c r="Q282" i="4" s="1"/>
  <c r="E14" i="31" s="1"/>
  <c r="P272" i="4"/>
  <c r="Q272" i="4" s="1"/>
  <c r="E4" i="31" s="1"/>
  <c r="P263" i="4"/>
  <c r="Q263" i="4" s="1"/>
  <c r="C9" i="31" s="1"/>
  <c r="P279" i="4"/>
  <c r="Q279" i="4" s="1"/>
  <c r="E11" i="31" s="1"/>
  <c r="J283" i="4"/>
  <c r="J284" i="4" s="1"/>
  <c r="M283" i="4"/>
  <c r="M284" i="4" s="1"/>
  <c r="N313" i="4"/>
  <c r="N314" i="4" s="1"/>
  <c r="E283" i="4"/>
  <c r="E284" i="4" s="1"/>
  <c r="J304" i="4"/>
  <c r="P304" i="4" s="1"/>
  <c r="Q304" i="4" s="1"/>
  <c r="E39" i="31" s="1"/>
  <c r="J310" i="4"/>
  <c r="P310" i="4" s="1"/>
  <c r="Q310" i="4" s="1"/>
  <c r="E45" i="31" s="1"/>
  <c r="J287" i="4"/>
  <c r="J291" i="4"/>
  <c r="P291" i="4" s="1"/>
  <c r="Q291" i="4" s="1"/>
  <c r="C40" i="31" s="1"/>
  <c r="J295" i="4"/>
  <c r="P295" i="4" s="1"/>
  <c r="Q295" i="4" s="1"/>
  <c r="C44" i="31" s="1"/>
  <c r="J305" i="4"/>
  <c r="P305" i="4" s="1"/>
  <c r="Q305" i="4" s="1"/>
  <c r="E40" i="31" s="1"/>
  <c r="J311" i="4"/>
  <c r="P311" i="4" s="1"/>
  <c r="Q311" i="4" s="1"/>
  <c r="E46" i="31" s="1"/>
  <c r="J288" i="4"/>
  <c r="P288" i="4" s="1"/>
  <c r="Q288" i="4" s="1"/>
  <c r="C37" i="31" s="1"/>
  <c r="J292" i="4"/>
  <c r="P292" i="4" s="1"/>
  <c r="Q292" i="4" s="1"/>
  <c r="C41" i="31" s="1"/>
  <c r="J296" i="4"/>
  <c r="P296" i="4" s="1"/>
  <c r="Q296" i="4" s="1"/>
  <c r="C45" i="31" s="1"/>
  <c r="J302" i="4"/>
  <c r="P302" i="4" s="1"/>
  <c r="Q302" i="4" s="1"/>
  <c r="E37" i="31" s="1"/>
  <c r="J309" i="4"/>
  <c r="P309" i="4" s="1"/>
  <c r="Q309" i="4" s="1"/>
  <c r="E44" i="31" s="1"/>
  <c r="J308" i="4"/>
  <c r="P308" i="4" s="1"/>
  <c r="Q308" i="4" s="1"/>
  <c r="E43" i="31" s="1"/>
  <c r="J301" i="4"/>
  <c r="P301" i="4" s="1"/>
  <c r="Q301" i="4" s="1"/>
  <c r="E36" i="31" s="1"/>
  <c r="J306" i="4"/>
  <c r="P306" i="4" s="1"/>
  <c r="Q306" i="4" s="1"/>
  <c r="E41" i="31" s="1"/>
  <c r="J312" i="4"/>
  <c r="P312" i="4" s="1"/>
  <c r="Q312" i="4" s="1"/>
  <c r="E47" i="31" s="1"/>
  <c r="J289" i="4"/>
  <c r="P289" i="4" s="1"/>
  <c r="Q289" i="4" s="1"/>
  <c r="C38" i="31" s="1"/>
  <c r="J293" i="4"/>
  <c r="P293" i="4" s="1"/>
  <c r="Q293" i="4" s="1"/>
  <c r="C42" i="31" s="1"/>
  <c r="J297" i="4"/>
  <c r="P297" i="4" s="1"/>
  <c r="Q297" i="4" s="1"/>
  <c r="C46" i="31" s="1"/>
  <c r="J303" i="4"/>
  <c r="P303" i="4" s="1"/>
  <c r="Q303" i="4" s="1"/>
  <c r="E38" i="31" s="1"/>
  <c r="J307" i="4"/>
  <c r="P307" i="4" s="1"/>
  <c r="Q307" i="4" s="1"/>
  <c r="E42" i="31" s="1"/>
  <c r="J290" i="4"/>
  <c r="P290" i="4" s="1"/>
  <c r="Q290" i="4" s="1"/>
  <c r="C39" i="31" s="1"/>
  <c r="J294" i="4"/>
  <c r="P294" i="4" s="1"/>
  <c r="Q294" i="4" s="1"/>
  <c r="C43" i="31" s="1"/>
  <c r="J298" i="4"/>
  <c r="P298" i="4" s="1"/>
  <c r="Q298" i="4" s="1"/>
  <c r="C47" i="31" s="1"/>
  <c r="D187" i="4"/>
  <c r="B10" i="25"/>
  <c r="O10" i="25" s="1"/>
  <c r="P172" i="4"/>
  <c r="D171" i="4"/>
  <c r="P140" i="4"/>
  <c r="D165" i="4"/>
  <c r="P134" i="4"/>
  <c r="D299" i="4"/>
  <c r="D313" i="4"/>
  <c r="P194" i="4"/>
  <c r="Q194" i="4" s="1"/>
  <c r="C17" i="31" s="1"/>
  <c r="P199" i="4"/>
  <c r="Q199" i="4" s="1"/>
  <c r="C22" i="31" s="1"/>
  <c r="P201" i="4"/>
  <c r="Q201" i="4" s="1"/>
  <c r="C24" i="31" s="1"/>
  <c r="P219" i="4"/>
  <c r="Q219" i="4" s="1"/>
  <c r="E27" i="31" s="1"/>
  <c r="P218" i="4"/>
  <c r="Q218" i="4" s="1"/>
  <c r="E26" i="31" s="1"/>
  <c r="P217" i="4"/>
  <c r="Q217" i="4" s="1"/>
  <c r="E25" i="31" s="1"/>
  <c r="P216" i="4"/>
  <c r="Q216" i="4" s="1"/>
  <c r="E24" i="31" s="1"/>
  <c r="K269" i="4"/>
  <c r="K270" i="4" s="1"/>
  <c r="G269" i="4"/>
  <c r="G270" i="4" s="1"/>
  <c r="O269" i="4"/>
  <c r="O270" i="4" s="1"/>
  <c r="G313" i="4"/>
  <c r="G314" i="4" s="1"/>
  <c r="H283" i="4"/>
  <c r="H284" i="4" s="1"/>
  <c r="F283" i="4"/>
  <c r="F284" i="4" s="1"/>
  <c r="I283" i="4"/>
  <c r="I284" i="4" s="1"/>
  <c r="L269" i="4"/>
  <c r="L270" i="4" s="1"/>
  <c r="H299" i="4"/>
  <c r="H300" i="4" s="1"/>
  <c r="P281" i="4"/>
  <c r="Q281" i="4" s="1"/>
  <c r="E13" i="31" s="1"/>
  <c r="P258" i="4"/>
  <c r="Q258" i="4" s="1"/>
  <c r="C4" i="31" s="1"/>
  <c r="P278" i="4"/>
  <c r="Q278" i="4" s="1"/>
  <c r="E10" i="31" s="1"/>
  <c r="P268" i="4"/>
  <c r="Q268" i="4" s="1"/>
  <c r="C14" i="31" s="1"/>
  <c r="P259" i="4"/>
  <c r="Q259" i="4" s="1"/>
  <c r="C5" i="31" s="1"/>
  <c r="P275" i="4"/>
  <c r="Q275" i="4" s="1"/>
  <c r="E7" i="31" s="1"/>
  <c r="M269" i="4"/>
  <c r="M270" i="4" s="1"/>
  <c r="N299" i="4"/>
  <c r="N300" i="4" s="1"/>
  <c r="I313" i="4"/>
  <c r="I314" i="4" s="1"/>
  <c r="E269" i="4"/>
  <c r="E270" i="4" s="1"/>
  <c r="P257" i="4"/>
  <c r="Q257" i="4" s="1"/>
  <c r="C3" i="31" s="1"/>
  <c r="D269" i="4"/>
  <c r="P271" i="4"/>
  <c r="Q271" i="4" s="1"/>
  <c r="E3" i="31" s="1"/>
  <c r="D283" i="4"/>
  <c r="P193" i="4"/>
  <c r="Q193" i="4" s="1"/>
  <c r="C16" i="31" s="1"/>
  <c r="P197" i="4"/>
  <c r="Q197" i="4" s="1"/>
  <c r="C20" i="31" s="1"/>
  <c r="P215" i="4"/>
  <c r="Q215" i="4" s="1"/>
  <c r="E23" i="31" s="1"/>
  <c r="P214" i="4"/>
  <c r="Q214" i="4" s="1"/>
  <c r="E22" i="31" s="1"/>
  <c r="P213" i="4"/>
  <c r="Q213" i="4" s="1"/>
  <c r="E21" i="31" s="1"/>
  <c r="P212" i="4"/>
  <c r="Q212" i="4" s="1"/>
  <c r="E20" i="31" s="1"/>
  <c r="F313" i="4"/>
  <c r="F314" i="4" s="1"/>
  <c r="L299" i="4"/>
  <c r="L300" i="4" s="1"/>
  <c r="G299" i="4"/>
  <c r="G300" i="4" s="1"/>
  <c r="I269" i="4"/>
  <c r="I270" i="4" s="1"/>
  <c r="E313" i="4"/>
  <c r="E314" i="4" s="1"/>
  <c r="P273" i="4"/>
  <c r="Q273" i="4" s="1"/>
  <c r="E5" i="31" s="1"/>
  <c r="P274" i="4"/>
  <c r="Q274" i="4" s="1"/>
  <c r="E6" i="31" s="1"/>
  <c r="P264" i="4"/>
  <c r="Q264" i="4" s="1"/>
  <c r="C10" i="31" s="1"/>
  <c r="P280" i="4"/>
  <c r="Q280" i="4" s="1"/>
  <c r="E12" i="31" s="1"/>
  <c r="N269" i="4"/>
  <c r="N270" i="4" s="1"/>
  <c r="I299" i="4"/>
  <c r="I300" i="4" s="1"/>
  <c r="F173" i="4"/>
  <c r="D11" i="25" s="1"/>
  <c r="F220" i="4"/>
  <c r="F181" i="4"/>
  <c r="D18" i="25" s="1"/>
  <c r="F237" i="4"/>
  <c r="M181" i="4"/>
  <c r="K18" i="25" s="1"/>
  <c r="M237" i="4"/>
  <c r="G166" i="4"/>
  <c r="E5" i="25" s="1"/>
  <c r="G205" i="4"/>
  <c r="N181" i="4"/>
  <c r="L18" i="25" s="1"/>
  <c r="N237" i="4"/>
  <c r="N188" i="4"/>
  <c r="L24" i="25" s="1"/>
  <c r="N252" i="4"/>
  <c r="O173" i="4"/>
  <c r="M11" i="25" s="1"/>
  <c r="O220" i="4"/>
  <c r="H181" i="4"/>
  <c r="F18" i="25" s="1"/>
  <c r="H237" i="4"/>
  <c r="K173" i="4"/>
  <c r="I11" i="25" s="1"/>
  <c r="K220" i="4"/>
  <c r="I166" i="4"/>
  <c r="G5" i="25" s="1"/>
  <c r="I205" i="4"/>
  <c r="D173" i="4"/>
  <c r="B11" i="25" s="1"/>
  <c r="D220" i="4"/>
  <c r="M166" i="4"/>
  <c r="K5" i="25" s="1"/>
  <c r="M205" i="4"/>
  <c r="H166" i="4"/>
  <c r="F5" i="25" s="1"/>
  <c r="H205" i="4"/>
  <c r="M188" i="4"/>
  <c r="K24" i="25" s="1"/>
  <c r="M252" i="4"/>
  <c r="G188" i="4"/>
  <c r="E24" i="25" s="1"/>
  <c r="G252" i="4"/>
  <c r="O166" i="4"/>
  <c r="M5" i="25" s="1"/>
  <c r="O205" i="4"/>
  <c r="L188" i="4"/>
  <c r="J24" i="25" s="1"/>
  <c r="L252" i="4"/>
  <c r="E166" i="4"/>
  <c r="C5" i="25" s="1"/>
  <c r="E205" i="4"/>
  <c r="F166" i="4"/>
  <c r="D5" i="25" s="1"/>
  <c r="F205" i="4"/>
  <c r="J166" i="4"/>
  <c r="H5" i="25" s="1"/>
  <c r="J205" i="4"/>
  <c r="D181" i="4"/>
  <c r="B18" i="25" s="1"/>
  <c r="D237" i="4"/>
  <c r="I173" i="4"/>
  <c r="G11" i="25" s="1"/>
  <c r="I220" i="4"/>
  <c r="K181" i="4"/>
  <c r="I18" i="25" s="1"/>
  <c r="K237" i="4"/>
  <c r="G181" i="4"/>
  <c r="E18" i="25" s="1"/>
  <c r="G237" i="4"/>
  <c r="G173" i="4"/>
  <c r="E11" i="25" s="1"/>
  <c r="G220" i="4"/>
  <c r="E181" i="4"/>
  <c r="C18" i="25" s="1"/>
  <c r="E237" i="4"/>
  <c r="N166" i="4"/>
  <c r="L5" i="25" s="1"/>
  <c r="N205" i="4"/>
  <c r="I181" i="4"/>
  <c r="G18" i="25" s="1"/>
  <c r="I237" i="4"/>
  <c r="H238" i="4"/>
  <c r="H239" i="4" s="1"/>
  <c r="E173" i="4"/>
  <c r="C11" i="25" s="1"/>
  <c r="E220" i="4"/>
  <c r="J173" i="4"/>
  <c r="H11" i="25" s="1"/>
  <c r="J220" i="4"/>
  <c r="D188" i="4"/>
  <c r="B24" i="25" s="1"/>
  <c r="D252" i="4"/>
  <c r="D166" i="4"/>
  <c r="B5" i="25" s="1"/>
  <c r="D205" i="4"/>
  <c r="M173" i="4"/>
  <c r="K11" i="25" s="1"/>
  <c r="M220" i="4"/>
  <c r="H173" i="4"/>
  <c r="F11" i="25" s="1"/>
  <c r="H220" i="4"/>
  <c r="F188" i="4"/>
  <c r="D24" i="25" s="1"/>
  <c r="F252" i="4"/>
  <c r="E188" i="4"/>
  <c r="C24" i="25" s="1"/>
  <c r="E252" i="4"/>
  <c r="K188" i="4"/>
  <c r="I24" i="25" s="1"/>
  <c r="K252" i="4"/>
  <c r="H188" i="4"/>
  <c r="F24" i="25" s="1"/>
  <c r="H252" i="4"/>
  <c r="N173" i="4"/>
  <c r="L11" i="25" s="1"/>
  <c r="N220" i="4"/>
  <c r="K166" i="4"/>
  <c r="I5" i="25" s="1"/>
  <c r="K205" i="4"/>
  <c r="I188" i="4"/>
  <c r="G24" i="25" s="1"/>
  <c r="I252" i="4"/>
  <c r="L181" i="4"/>
  <c r="J18" i="25" s="1"/>
  <c r="L237" i="4"/>
  <c r="O206" i="4"/>
  <c r="O207" i="4" s="1"/>
  <c r="L253" i="4"/>
  <c r="L254" i="4" s="1"/>
  <c r="H253" i="4"/>
  <c r="H254" i="4" s="1"/>
  <c r="L238" i="4"/>
  <c r="L239" i="4" s="1"/>
  <c r="J243" i="4"/>
  <c r="P243" i="4" s="1"/>
  <c r="Q243" i="4" s="1"/>
  <c r="E52" i="31" s="1"/>
  <c r="J247" i="4"/>
  <c r="P247" i="4" s="1"/>
  <c r="Q247" i="4" s="1"/>
  <c r="E56" i="31" s="1"/>
  <c r="J251" i="4"/>
  <c r="P251" i="4" s="1"/>
  <c r="Q251" i="4" s="1"/>
  <c r="E60" i="31" s="1"/>
  <c r="J228" i="4"/>
  <c r="P228" i="4" s="1"/>
  <c r="Q228" i="4" s="1"/>
  <c r="C52" i="31" s="1"/>
  <c r="J232" i="4"/>
  <c r="P232" i="4" s="1"/>
  <c r="Q232" i="4" s="1"/>
  <c r="C56" i="31" s="1"/>
  <c r="J236" i="4"/>
  <c r="P236" i="4" s="1"/>
  <c r="Q236" i="4" s="1"/>
  <c r="C60" i="31" s="1"/>
  <c r="J244" i="4"/>
  <c r="P244" i="4" s="1"/>
  <c r="Q244" i="4" s="1"/>
  <c r="E53" i="31" s="1"/>
  <c r="J248" i="4"/>
  <c r="P248" i="4" s="1"/>
  <c r="Q248" i="4" s="1"/>
  <c r="E57" i="31" s="1"/>
  <c r="J240" i="4"/>
  <c r="P240" i="4" s="1"/>
  <c r="Q240" i="4" s="1"/>
  <c r="E49" i="31" s="1"/>
  <c r="J229" i="4"/>
  <c r="P229" i="4" s="1"/>
  <c r="Q229" i="4" s="1"/>
  <c r="C53" i="31" s="1"/>
  <c r="J233" i="4"/>
  <c r="P233" i="4" s="1"/>
  <c r="Q233" i="4" s="1"/>
  <c r="C57" i="31" s="1"/>
  <c r="J225" i="4"/>
  <c r="P225" i="4" s="1"/>
  <c r="Q225" i="4" s="1"/>
  <c r="C49" i="31" s="1"/>
  <c r="J241" i="4"/>
  <c r="P241" i="4" s="1"/>
  <c r="Q241" i="4" s="1"/>
  <c r="E50" i="31" s="1"/>
  <c r="J245" i="4"/>
  <c r="P245" i="4" s="1"/>
  <c r="Q245" i="4" s="1"/>
  <c r="E54" i="31" s="1"/>
  <c r="J249" i="4"/>
  <c r="P249" i="4" s="1"/>
  <c r="Q249" i="4" s="1"/>
  <c r="E58" i="31" s="1"/>
  <c r="J226" i="4"/>
  <c r="P226" i="4" s="1"/>
  <c r="Q226" i="4" s="1"/>
  <c r="C50" i="31" s="1"/>
  <c r="J230" i="4"/>
  <c r="P230" i="4" s="1"/>
  <c r="Q230" i="4" s="1"/>
  <c r="C54" i="31" s="1"/>
  <c r="J234" i="4"/>
  <c r="P234" i="4" s="1"/>
  <c r="Q234" i="4" s="1"/>
  <c r="C58" i="31" s="1"/>
  <c r="J242" i="4"/>
  <c r="P242" i="4" s="1"/>
  <c r="Q242" i="4" s="1"/>
  <c r="E51" i="31" s="1"/>
  <c r="J246" i="4"/>
  <c r="P246" i="4" s="1"/>
  <c r="Q246" i="4" s="1"/>
  <c r="E55" i="31" s="1"/>
  <c r="J250" i="4"/>
  <c r="P250" i="4" s="1"/>
  <c r="Q250" i="4" s="1"/>
  <c r="E59" i="31" s="1"/>
  <c r="J227" i="4"/>
  <c r="P227" i="4" s="1"/>
  <c r="Q227" i="4" s="1"/>
  <c r="C51" i="31" s="1"/>
  <c r="J231" i="4"/>
  <c r="P231" i="4" s="1"/>
  <c r="Q231" i="4" s="1"/>
  <c r="C55" i="31" s="1"/>
  <c r="J235" i="4"/>
  <c r="P235" i="4" s="1"/>
  <c r="Q235" i="4" s="1"/>
  <c r="C59" i="31" s="1"/>
  <c r="E206" i="4"/>
  <c r="E207" i="4" s="1"/>
  <c r="G206" i="4"/>
  <c r="G207" i="4" s="1"/>
  <c r="F206" i="4"/>
  <c r="F207" i="4" s="1"/>
  <c r="J206" i="4"/>
  <c r="J207" i="4" s="1"/>
  <c r="F253" i="4"/>
  <c r="F254" i="4" s="1"/>
  <c r="G253" i="4"/>
  <c r="G254" i="4" s="1"/>
  <c r="E253" i="4"/>
  <c r="E254" i="4" s="1"/>
  <c r="J221" i="4"/>
  <c r="J222" i="4" s="1"/>
  <c r="M221" i="4"/>
  <c r="M222" i="4" s="1"/>
  <c r="N221" i="4"/>
  <c r="N222" i="4" s="1"/>
  <c r="N253" i="4"/>
  <c r="N254" i="4" s="1"/>
  <c r="I238" i="4"/>
  <c r="I239" i="4" s="1"/>
  <c r="E221" i="4"/>
  <c r="E222" i="4" s="1"/>
  <c r="K206" i="4"/>
  <c r="K207" i="4" s="1"/>
  <c r="H206" i="4"/>
  <c r="H207" i="4" s="1"/>
  <c r="D206" i="4"/>
  <c r="K221" i="4"/>
  <c r="K222" i="4" s="1"/>
  <c r="G221" i="4"/>
  <c r="G222" i="4" s="1"/>
  <c r="H221" i="4"/>
  <c r="H222" i="4" s="1"/>
  <c r="F221" i="4"/>
  <c r="F222" i="4" s="1"/>
  <c r="I221" i="4"/>
  <c r="I222" i="4" s="1"/>
  <c r="I253" i="4"/>
  <c r="I254" i="4" s="1"/>
  <c r="D238" i="4"/>
  <c r="D253" i="4"/>
  <c r="N206" i="4"/>
  <c r="N207" i="4" s="1"/>
  <c r="I206" i="4"/>
  <c r="I207" i="4" s="1"/>
  <c r="L206" i="4"/>
  <c r="L207" i="4" s="1"/>
  <c r="M238" i="4"/>
  <c r="M239" i="4" s="1"/>
  <c r="O221" i="4"/>
  <c r="O222" i="4" s="1"/>
  <c r="D221" i="4"/>
  <c r="K238" i="4"/>
  <c r="K239" i="4" s="1"/>
  <c r="M206" i="4"/>
  <c r="M207" i="4" s="1"/>
  <c r="M253" i="4"/>
  <c r="M254" i="4" s="1"/>
  <c r="F238" i="4"/>
  <c r="F239" i="4" s="1"/>
  <c r="G238" i="4"/>
  <c r="G239" i="4" s="1"/>
  <c r="L221" i="4"/>
  <c r="L222" i="4" s="1"/>
  <c r="E238" i="4"/>
  <c r="E239" i="4" s="1"/>
  <c r="N238" i="4"/>
  <c r="N239" i="4" s="1"/>
  <c r="K253" i="4"/>
  <c r="K254" i="4" s="1"/>
  <c r="L144" i="4"/>
  <c r="L175" i="4" s="1"/>
  <c r="J13" i="25" s="1"/>
  <c r="L159" i="4"/>
  <c r="L190" i="4" s="1"/>
  <c r="J26" i="25" s="1"/>
  <c r="N144" i="4"/>
  <c r="N145" i="4" s="1"/>
  <c r="K144" i="4"/>
  <c r="K145" i="4" s="1"/>
  <c r="K159" i="20"/>
  <c r="K160" i="20" s="1"/>
  <c r="O144" i="4"/>
  <c r="O145" i="4" s="1"/>
  <c r="H159" i="4"/>
  <c r="H190" i="4" s="1"/>
  <c r="F26" i="25" s="1"/>
  <c r="G144" i="4"/>
  <c r="G145" i="4" s="1"/>
  <c r="N159" i="4"/>
  <c r="N190" i="4" s="1"/>
  <c r="L26" i="25" s="1"/>
  <c r="M159" i="4"/>
  <c r="M160" i="4" s="1"/>
  <c r="E159" i="4"/>
  <c r="E160" i="4" s="1"/>
  <c r="F159" i="4"/>
  <c r="F190" i="4" s="1"/>
  <c r="D26" i="25" s="1"/>
  <c r="G159" i="4"/>
  <c r="G190" i="4" s="1"/>
  <c r="E26" i="25" s="1"/>
  <c r="K159" i="4"/>
  <c r="K190" i="4" s="1"/>
  <c r="I26" i="25" s="1"/>
  <c r="J144" i="4"/>
  <c r="J145" i="4" s="1"/>
  <c r="J163" i="4"/>
  <c r="M144" i="4"/>
  <c r="M175" i="4" s="1"/>
  <c r="K13" i="25" s="1"/>
  <c r="H144" i="4"/>
  <c r="H175" i="4" s="1"/>
  <c r="F13" i="25" s="1"/>
  <c r="I159" i="4"/>
  <c r="I190" i="4" s="1"/>
  <c r="G26" i="25" s="1"/>
  <c r="D144" i="4"/>
  <c r="D145" i="4" s="1"/>
  <c r="F144" i="4"/>
  <c r="F145" i="4" s="1"/>
  <c r="I144" i="4"/>
  <c r="I175" i="4" s="1"/>
  <c r="G13" i="25" s="1"/>
  <c r="O7" i="25"/>
  <c r="D178" i="4"/>
  <c r="D159" i="4"/>
  <c r="J152" i="4"/>
  <c r="J183" i="4" s="1"/>
  <c r="H20" i="25" s="1"/>
  <c r="O20" i="25" s="1"/>
  <c r="J155" i="4"/>
  <c r="J186" i="4" s="1"/>
  <c r="H22" i="25" s="1"/>
  <c r="J115" i="4"/>
  <c r="J148" i="4"/>
  <c r="J179" i="4" s="1"/>
  <c r="H16" i="25" s="1"/>
  <c r="J149" i="4"/>
  <c r="J180" i="4" s="1"/>
  <c r="H17" i="25" s="1"/>
  <c r="J147" i="4"/>
  <c r="J151" i="4"/>
  <c r="J182" i="4" s="1"/>
  <c r="H19" i="25" s="1"/>
  <c r="O19" i="25" s="1"/>
  <c r="J150" i="4"/>
  <c r="J156" i="4"/>
  <c r="J187" i="4" s="1"/>
  <c r="H23" i="25" s="1"/>
  <c r="J153" i="4"/>
  <c r="J184" i="4" s="1"/>
  <c r="H21" i="25" s="1"/>
  <c r="O21" i="25" s="1"/>
  <c r="J154" i="4"/>
  <c r="J185" i="4" s="1"/>
  <c r="J157" i="4"/>
  <c r="J158" i="4"/>
  <c r="J189" i="4" s="1"/>
  <c r="H25" i="25" s="1"/>
  <c r="O25" i="25" s="1"/>
  <c r="A113" i="4"/>
  <c r="B118" i="4" s="1"/>
  <c r="O6" i="25"/>
  <c r="O12" i="25"/>
  <c r="O8" i="25"/>
  <c r="F144" i="20"/>
  <c r="F175" i="20" s="1"/>
  <c r="D13" i="24" s="1"/>
  <c r="H159" i="20"/>
  <c r="H160" i="20" s="1"/>
  <c r="E144" i="4"/>
  <c r="E175" i="4" s="1"/>
  <c r="C13" i="25" s="1"/>
  <c r="G7" i="18"/>
  <c r="C202" i="18" s="1"/>
  <c r="D202" i="18" s="1"/>
  <c r="F202" i="18" s="1"/>
  <c r="D117" i="4"/>
  <c r="K144" i="20"/>
  <c r="K145" i="20" s="1"/>
  <c r="D175" i="20"/>
  <c r="B13" i="24" s="1"/>
  <c r="G159" i="20"/>
  <c r="B118" i="20"/>
  <c r="F8" i="18" s="1"/>
  <c r="N144" i="20"/>
  <c r="N145" i="20" s="1"/>
  <c r="E144" i="20"/>
  <c r="E145" i="20" s="1"/>
  <c r="I159" i="20"/>
  <c r="I190" i="20" s="1"/>
  <c r="G26" i="24" s="1"/>
  <c r="E178" i="20"/>
  <c r="E159" i="20"/>
  <c r="N163" i="20"/>
  <c r="O159" i="20"/>
  <c r="O160" i="20" s="1"/>
  <c r="L144" i="20"/>
  <c r="L145" i="20" s="1"/>
  <c r="M159" i="20"/>
  <c r="M160" i="20" s="1"/>
  <c r="G144" i="20"/>
  <c r="G175" i="20" s="1"/>
  <c r="E13" i="24" s="1"/>
  <c r="O160" i="4"/>
  <c r="J159" i="20"/>
  <c r="J190" i="20" s="1"/>
  <c r="H26" i="24" s="1"/>
  <c r="O21" i="24"/>
  <c r="O20" i="24"/>
  <c r="L159" i="20"/>
  <c r="F188" i="20"/>
  <c r="D24" i="24" s="1"/>
  <c r="F159" i="20"/>
  <c r="O19" i="24"/>
  <c r="O25" i="24"/>
  <c r="I144" i="20"/>
  <c r="N178" i="20"/>
  <c r="N159" i="20"/>
  <c r="J163" i="20"/>
  <c r="J144" i="20"/>
  <c r="O8" i="24"/>
  <c r="O12" i="24"/>
  <c r="D190" i="20"/>
  <c r="B26" i="24" s="1"/>
  <c r="D160" i="20"/>
  <c r="O7" i="24"/>
  <c r="O6" i="24"/>
  <c r="O163" i="20"/>
  <c r="O144" i="20"/>
  <c r="A114" i="20"/>
  <c r="B117" i="20"/>
  <c r="H144" i="20"/>
  <c r="H163" i="20"/>
  <c r="M163" i="20"/>
  <c r="M144" i="20"/>
  <c r="O5" i="24" l="1"/>
  <c r="B5" i="26" s="1"/>
  <c r="O3" i="24"/>
  <c r="B3" i="26" s="1"/>
  <c r="O18" i="24"/>
  <c r="B14" i="26" s="1"/>
  <c r="O11" i="24"/>
  <c r="D28" i="31" s="1"/>
  <c r="P237" i="20"/>
  <c r="Q237" i="20" s="1"/>
  <c r="O24" i="24"/>
  <c r="D14" i="26" s="1"/>
  <c r="P220" i="20"/>
  <c r="Q220" i="20" s="1"/>
  <c r="P269" i="20"/>
  <c r="Q269" i="20" s="1"/>
  <c r="P252" i="20"/>
  <c r="Q252" i="20" s="1"/>
  <c r="P205" i="20"/>
  <c r="Q205" i="20" s="1"/>
  <c r="D6" i="26"/>
  <c r="D29" i="31"/>
  <c r="P313" i="20"/>
  <c r="Q313" i="20" s="1"/>
  <c r="P253" i="20"/>
  <c r="Q253" i="20" s="1"/>
  <c r="P221" i="20"/>
  <c r="Q221" i="20" s="1"/>
  <c r="D12" i="26"/>
  <c r="D35" i="31"/>
  <c r="P283" i="20"/>
  <c r="Q283" i="20" s="1"/>
  <c r="P164" i="20"/>
  <c r="B4" i="26"/>
  <c r="B15" i="31"/>
  <c r="B13" i="26"/>
  <c r="B48" i="31"/>
  <c r="D3" i="26"/>
  <c r="D2" i="31"/>
  <c r="D16" i="26"/>
  <c r="D63" i="31"/>
  <c r="D15" i="26"/>
  <c r="D62" i="31"/>
  <c r="P299" i="20"/>
  <c r="Q299" i="20" s="1"/>
  <c r="B6" i="26"/>
  <c r="B29" i="31"/>
  <c r="B15" i="26"/>
  <c r="B62" i="31"/>
  <c r="D17" i="26"/>
  <c r="D64" i="31"/>
  <c r="D7" i="26"/>
  <c r="D30" i="31"/>
  <c r="D8" i="26"/>
  <c r="D31" i="31"/>
  <c r="D4" i="26"/>
  <c r="D15" i="31"/>
  <c r="D13" i="26"/>
  <c r="D48" i="31"/>
  <c r="B12" i="26"/>
  <c r="B35" i="31"/>
  <c r="P206" i="20"/>
  <c r="Q206" i="20" s="1"/>
  <c r="P238" i="20"/>
  <c r="Q238" i="20" s="1"/>
  <c r="B17" i="25"/>
  <c r="O17" i="25" s="1"/>
  <c r="P180" i="4"/>
  <c r="C6" i="26"/>
  <c r="C29" i="31"/>
  <c r="C15" i="26"/>
  <c r="C62" i="31"/>
  <c r="P283" i="4"/>
  <c r="Q283" i="4" s="1"/>
  <c r="D284" i="4"/>
  <c r="D314" i="4"/>
  <c r="O11" i="25"/>
  <c r="O5" i="25"/>
  <c r="P148" i="4"/>
  <c r="P149" i="4"/>
  <c r="E17" i="26"/>
  <c r="E64" i="31"/>
  <c r="J299" i="4"/>
  <c r="J300" i="4" s="1"/>
  <c r="P287" i="4"/>
  <c r="Q287" i="4" s="1"/>
  <c r="C36" i="31" s="1"/>
  <c r="E4" i="26"/>
  <c r="E15" i="31"/>
  <c r="B4" i="25"/>
  <c r="O4" i="25" s="1"/>
  <c r="P165" i="4"/>
  <c r="B16" i="25"/>
  <c r="O16" i="25" s="1"/>
  <c r="P179" i="4"/>
  <c r="E6" i="26"/>
  <c r="E29" i="31"/>
  <c r="D239" i="4"/>
  <c r="B9" i="25"/>
  <c r="O9" i="25" s="1"/>
  <c r="P171" i="4"/>
  <c r="B23" i="25"/>
  <c r="O23" i="25" s="1"/>
  <c r="P187" i="4"/>
  <c r="B22" i="25"/>
  <c r="P186" i="4"/>
  <c r="B3" i="25"/>
  <c r="O3" i="25" s="1"/>
  <c r="P164" i="4"/>
  <c r="E8" i="26"/>
  <c r="E31" i="31"/>
  <c r="E15" i="26"/>
  <c r="E62" i="31"/>
  <c r="E16" i="26"/>
  <c r="E63" i="31"/>
  <c r="E7" i="26"/>
  <c r="E30" i="31"/>
  <c r="D222" i="4"/>
  <c r="P221" i="4"/>
  <c r="Q221" i="4" s="1"/>
  <c r="D254" i="4"/>
  <c r="D207" i="4"/>
  <c r="P206" i="4"/>
  <c r="Q206" i="4" s="1"/>
  <c r="P269" i="4"/>
  <c r="Q269" i="4" s="1"/>
  <c r="D270" i="4"/>
  <c r="D300" i="4"/>
  <c r="O22" i="25"/>
  <c r="P220" i="4"/>
  <c r="Q220" i="4" s="1"/>
  <c r="L145" i="4"/>
  <c r="P205" i="4"/>
  <c r="Q205" i="4" s="1"/>
  <c r="P156" i="4"/>
  <c r="J313" i="4"/>
  <c r="J314" i="4" s="1"/>
  <c r="P155" i="4"/>
  <c r="J188" i="4"/>
  <c r="H24" i="25" s="1"/>
  <c r="O24" i="25" s="1"/>
  <c r="J252" i="4"/>
  <c r="P252" i="4" s="1"/>
  <c r="Q252" i="4" s="1"/>
  <c r="J181" i="4"/>
  <c r="H18" i="25" s="1"/>
  <c r="O18" i="25" s="1"/>
  <c r="J237" i="4"/>
  <c r="P237" i="4" s="1"/>
  <c r="Q237" i="4" s="1"/>
  <c r="J253" i="4"/>
  <c r="J254" i="4" s="1"/>
  <c r="J238" i="4"/>
  <c r="J239" i="4" s="1"/>
  <c r="L160" i="4"/>
  <c r="N175" i="4"/>
  <c r="L13" i="25" s="1"/>
  <c r="K190" i="20"/>
  <c r="I26" i="24" s="1"/>
  <c r="J175" i="4"/>
  <c r="H13" i="25" s="1"/>
  <c r="H160" i="4"/>
  <c r="N160" i="4"/>
  <c r="K175" i="4"/>
  <c r="I13" i="25" s="1"/>
  <c r="O175" i="4"/>
  <c r="M13" i="25" s="1"/>
  <c r="M190" i="4"/>
  <c r="K26" i="25" s="1"/>
  <c r="F175" i="4"/>
  <c r="D13" i="25" s="1"/>
  <c r="G175" i="4"/>
  <c r="E13" i="25" s="1"/>
  <c r="I160" i="4"/>
  <c r="K160" i="4"/>
  <c r="F160" i="4"/>
  <c r="E190" i="4"/>
  <c r="C26" i="25" s="1"/>
  <c r="G160" i="4"/>
  <c r="M145" i="4"/>
  <c r="D175" i="4"/>
  <c r="B13" i="25" s="1"/>
  <c r="I145" i="4"/>
  <c r="H145" i="4"/>
  <c r="D160" i="4"/>
  <c r="D190" i="4"/>
  <c r="B26" i="25" s="1"/>
  <c r="D118" i="4"/>
  <c r="D119" i="4" s="1"/>
  <c r="G8" i="18"/>
  <c r="C203" i="18" s="1"/>
  <c r="D203" i="18" s="1"/>
  <c r="J178" i="4"/>
  <c r="J159" i="4"/>
  <c r="B119" i="4"/>
  <c r="G9" i="18" s="1"/>
  <c r="H190" i="20"/>
  <c r="F26" i="24" s="1"/>
  <c r="F145" i="20"/>
  <c r="G202" i="18"/>
  <c r="E202" i="18"/>
  <c r="E145" i="4"/>
  <c r="E175" i="20"/>
  <c r="C13" i="24" s="1"/>
  <c r="L175" i="20"/>
  <c r="J13" i="24" s="1"/>
  <c r="K175" i="20"/>
  <c r="I13" i="24" s="1"/>
  <c r="N175" i="20"/>
  <c r="L13" i="24" s="1"/>
  <c r="D118" i="20"/>
  <c r="G190" i="20"/>
  <c r="E26" i="24" s="1"/>
  <c r="G160" i="20"/>
  <c r="I160" i="20"/>
  <c r="M190" i="20"/>
  <c r="K26" i="24" s="1"/>
  <c r="O190" i="20"/>
  <c r="M26" i="24" s="1"/>
  <c r="E160" i="20"/>
  <c r="E190" i="20"/>
  <c r="C26" i="24" s="1"/>
  <c r="G145" i="20"/>
  <c r="J160" i="20"/>
  <c r="C195" i="18"/>
  <c r="D195" i="18" s="1"/>
  <c r="L190" i="20"/>
  <c r="J26" i="24" s="1"/>
  <c r="L160" i="20"/>
  <c r="F160" i="20"/>
  <c r="F190" i="20"/>
  <c r="D26" i="24" s="1"/>
  <c r="I145" i="20"/>
  <c r="I175" i="20"/>
  <c r="G13" i="24" s="1"/>
  <c r="N190" i="20"/>
  <c r="L26" i="24" s="1"/>
  <c r="N160" i="20"/>
  <c r="J145" i="20"/>
  <c r="J175" i="20"/>
  <c r="H13" i="24" s="1"/>
  <c r="O175" i="20"/>
  <c r="M13" i="24" s="1"/>
  <c r="O145" i="20"/>
  <c r="F7" i="18"/>
  <c r="F10" i="18" s="1"/>
  <c r="D117" i="20"/>
  <c r="B119" i="20"/>
  <c r="F9" i="18" s="1"/>
  <c r="H145" i="20"/>
  <c r="H175" i="20"/>
  <c r="F13" i="24" s="1"/>
  <c r="M145" i="20"/>
  <c r="M175" i="20"/>
  <c r="K13" i="24" s="1"/>
  <c r="B28" i="31" l="1"/>
  <c r="D5" i="26"/>
  <c r="B61" i="31"/>
  <c r="B2" i="31"/>
  <c r="D61" i="31"/>
  <c r="P299" i="4"/>
  <c r="Q299" i="4" s="1"/>
  <c r="C12" i="26"/>
  <c r="C35" i="31"/>
  <c r="C14" i="26"/>
  <c r="C61" i="31"/>
  <c r="E13" i="26"/>
  <c r="E48" i="31"/>
  <c r="E12" i="26"/>
  <c r="E35" i="31"/>
  <c r="C3" i="26"/>
  <c r="C2" i="31"/>
  <c r="C5" i="26"/>
  <c r="C28" i="31"/>
  <c r="C13" i="26"/>
  <c r="C48" i="31"/>
  <c r="P253" i="4"/>
  <c r="Q253" i="4" s="1"/>
  <c r="P238" i="4"/>
  <c r="Q238" i="4" s="1"/>
  <c r="P313" i="4"/>
  <c r="Q313" i="4" s="1"/>
  <c r="E14" i="26"/>
  <c r="E61" i="31"/>
  <c r="E3" i="26"/>
  <c r="E2" i="31"/>
  <c r="C4" i="26"/>
  <c r="C15" i="31"/>
  <c r="E5" i="26"/>
  <c r="E28" i="31"/>
  <c r="N5" i="25"/>
  <c r="N12" i="25"/>
  <c r="N10" i="25"/>
  <c r="O13" i="25"/>
  <c r="N7" i="25"/>
  <c r="N8" i="25"/>
  <c r="N3" i="25"/>
  <c r="N11" i="25"/>
  <c r="N4" i="25"/>
  <c r="N6" i="25"/>
  <c r="N9" i="25"/>
  <c r="F195" i="18"/>
  <c r="E195" i="18"/>
  <c r="D206" i="18"/>
  <c r="E203" i="18"/>
  <c r="F203" i="18"/>
  <c r="F13" i="18"/>
  <c r="C206" i="18"/>
  <c r="F12" i="18"/>
  <c r="G203" i="18"/>
  <c r="G206" i="18" s="1"/>
  <c r="J160" i="4"/>
  <c r="J190" i="4"/>
  <c r="H26" i="25" s="1"/>
  <c r="D119" i="20"/>
  <c r="C194" i="18"/>
  <c r="D194" i="18" s="1"/>
  <c r="G194" i="18" s="1"/>
  <c r="G195" i="18"/>
  <c r="N19" i="24"/>
  <c r="N17" i="24"/>
  <c r="N23" i="24"/>
  <c r="N20" i="24"/>
  <c r="N21" i="24"/>
  <c r="N18" i="24"/>
  <c r="O26" i="24"/>
  <c r="N22" i="24"/>
  <c r="N25" i="24"/>
  <c r="N9" i="24"/>
  <c r="N16" i="24"/>
  <c r="N24" i="24"/>
  <c r="N6" i="24"/>
  <c r="N3" i="24"/>
  <c r="N8" i="24"/>
  <c r="O13" i="24"/>
  <c r="N4" i="24"/>
  <c r="N7" i="24"/>
  <c r="N12" i="24"/>
  <c r="N5" i="24"/>
  <c r="N11" i="24"/>
  <c r="N10" i="24"/>
  <c r="B18" i="26" l="1"/>
  <c r="B65" i="31"/>
  <c r="B9" i="26"/>
  <c r="B32" i="31"/>
  <c r="C9" i="26"/>
  <c r="C32" i="31"/>
  <c r="F207" i="18"/>
  <c r="E220" i="18" s="1"/>
  <c r="F206" i="18"/>
  <c r="N21" i="25"/>
  <c r="N19" i="25"/>
  <c r="N16" i="25"/>
  <c r="N25" i="25"/>
  <c r="N24" i="25"/>
  <c r="N23" i="25"/>
  <c r="N17" i="25"/>
  <c r="N18" i="25"/>
  <c r="N22" i="25"/>
  <c r="O26" i="25"/>
  <c r="N20" i="25"/>
  <c r="G198" i="18"/>
  <c r="C198" i="18"/>
  <c r="D198" i="18"/>
  <c r="F194" i="18"/>
  <c r="E219" i="18" s="1"/>
  <c r="E194" i="18"/>
  <c r="C18" i="26" l="1"/>
  <c r="C65" i="31"/>
  <c r="G215" i="18"/>
  <c r="G214" i="18"/>
  <c r="G211" i="18"/>
  <c r="G213" i="18"/>
  <c r="G217" i="18"/>
  <c r="G212" i="18"/>
  <c r="G216" i="18"/>
  <c r="F199" i="18"/>
  <c r="B241" i="18"/>
  <c r="E239" i="18"/>
  <c r="E240" i="18" s="1"/>
  <c r="E198" i="18"/>
  <c r="F198" i="18"/>
  <c r="E206" i="18"/>
  <c r="F214" i="18" l="1"/>
  <c r="F213" i="18"/>
  <c r="F211" i="18"/>
  <c r="F212" i="18"/>
  <c r="F216" i="18"/>
  <c r="F217" i="18"/>
  <c r="F215" i="18"/>
</calcChain>
</file>

<file path=xl/comments1.xml><?xml version="1.0" encoding="utf-8"?>
<comments xmlns="http://schemas.openxmlformats.org/spreadsheetml/2006/main">
  <authors>
    <author>jsole</author>
  </authors>
  <commentList>
    <comment ref="A4" authorId="0" shapeId="0">
      <text>
        <r>
          <rPr>
            <sz val="8"/>
            <color indexed="81"/>
            <rFont val="Tahoma"/>
            <family val="2"/>
          </rPr>
          <t>Insert a reference (name, client, site,..)</t>
        </r>
      </text>
    </comment>
    <comment ref="A5" authorId="0" shapeId="0">
      <text>
        <r>
          <rPr>
            <sz val="8"/>
            <color indexed="81"/>
            <rFont val="Tahoma"/>
            <family val="2"/>
          </rPr>
          <t>Select the appropriate site (data are available in "Cities" sheet)</t>
        </r>
      </text>
    </comment>
    <comment ref="A6" authorId="0" shapeId="0">
      <text>
        <r>
          <rPr>
            <sz val="8"/>
            <color indexed="81"/>
            <rFont val="Tahoma"/>
            <family val="2"/>
          </rPr>
          <t>Include only surface inside thermal envelope</t>
        </r>
      </text>
    </comment>
    <comment ref="A7" authorId="0" shapeId="0">
      <text>
        <r>
          <rPr>
            <sz val="8"/>
            <color indexed="81"/>
            <rFont val="Tahoma"/>
            <family val="2"/>
          </rPr>
          <t>Include only volume inside thermal envelope</t>
        </r>
      </text>
    </comment>
    <comment ref="A9" authorId="0" shapeId="0">
      <text>
        <r>
          <rPr>
            <sz val="8"/>
            <color indexed="81"/>
            <rFont val="Tahoma"/>
            <family val="2"/>
          </rPr>
          <t>Include air changes per hour including infiltration and ventilation according the use and air tightness</t>
        </r>
      </text>
    </comment>
    <comment ref="A10" authorId="0" shapeId="0">
      <text>
        <r>
          <rPr>
            <sz val="8"/>
            <color indexed="81"/>
            <rFont val="Tahoma"/>
            <family val="2"/>
          </rPr>
          <t>Heat recovery availability or its efficiency if any</t>
        </r>
      </text>
    </comment>
    <comment ref="A12" authorId="0" shapeId="0">
      <text>
        <r>
          <rPr>
            <sz val="8"/>
            <color indexed="81"/>
            <rFont val="Tahoma"/>
            <family val="2"/>
          </rPr>
          <t>Air changes rate during night summer to minimize overheating</t>
        </r>
      </text>
    </comment>
    <comment ref="A13" authorId="0" shapeId="0">
      <text>
        <r>
          <rPr>
            <sz val="8"/>
            <color indexed="81"/>
            <rFont val="Tahoma"/>
            <family val="2"/>
          </rPr>
          <t>Internal gains due to people, lighting, equipments,..</t>
        </r>
      </text>
    </comment>
    <comment ref="A17" authorId="0" shapeId="0">
      <text>
        <r>
          <rPr>
            <sz val="8"/>
            <color indexed="81"/>
            <rFont val="Tahoma"/>
            <family val="2"/>
          </rPr>
          <t>Gross area including windows surface</t>
        </r>
      </text>
    </comment>
    <comment ref="A18" authorId="0" shapeId="0">
      <text>
        <r>
          <rPr>
            <sz val="8"/>
            <color indexed="81"/>
            <rFont val="Tahoma"/>
            <family val="2"/>
          </rPr>
          <t>Percentage occupied by windows expressed as a factor from 0 to 1</t>
        </r>
      </text>
    </comment>
    <comment ref="A38" authorId="0" shapeId="0">
      <text>
        <r>
          <rPr>
            <sz val="8"/>
            <color indexed="81"/>
            <rFont val="Tahoma"/>
            <family val="2"/>
          </rPr>
          <t>Only used for economic calculations</t>
        </r>
      </text>
    </comment>
    <comment ref="A45" authorId="0" shapeId="0">
      <text>
        <r>
          <rPr>
            <sz val="8"/>
            <color indexed="81"/>
            <rFont val="Tahoma"/>
            <family val="2"/>
          </rPr>
          <t>Only used for economic calculations</t>
        </r>
      </text>
    </comment>
    <comment ref="A54" authorId="0" shapeId="0">
      <text>
        <r>
          <rPr>
            <sz val="8"/>
            <color indexed="81"/>
            <rFont val="Tahoma"/>
            <family val="2"/>
          </rPr>
          <t>Gross area including windows surface</t>
        </r>
      </text>
    </comment>
    <comment ref="A55" authorId="0" shapeId="0">
      <text>
        <r>
          <rPr>
            <sz val="8"/>
            <color indexed="81"/>
            <rFont val="Tahoma"/>
            <family val="2"/>
          </rPr>
          <t>Percentage occupied by windows expressed as a factor from 0 to 1</t>
        </r>
      </text>
    </comment>
    <comment ref="A75" authorId="0" shapeId="0">
      <text>
        <r>
          <rPr>
            <sz val="8"/>
            <color indexed="81"/>
            <rFont val="Tahoma"/>
            <family val="2"/>
          </rPr>
          <t>Only used for economic calculations</t>
        </r>
      </text>
    </comment>
    <comment ref="A76" authorId="0" shapeId="0">
      <text>
        <r>
          <rPr>
            <b/>
            <sz val="8"/>
            <color indexed="81"/>
            <rFont val="Tahoma"/>
            <family val="2"/>
          </rPr>
          <t>jsole:</t>
        </r>
        <r>
          <rPr>
            <sz val="8"/>
            <color indexed="81"/>
            <rFont val="Tahoma"/>
            <family val="2"/>
          </rPr>
          <t xml:space="preserve">
Coste de la intervención en cerramientos sin aislamiento</t>
        </r>
      </text>
    </comment>
    <comment ref="A77" authorId="0" shapeId="0">
      <text>
        <r>
          <rPr>
            <sz val="8"/>
            <color indexed="81"/>
            <rFont val="Tahoma"/>
            <family val="2"/>
          </rPr>
          <t>Coste de la intervención en cerramientos
En edificos nuevos el coste del aislante
En rehabilitación la parte del coste debida a la rehabilitación térmica</t>
        </r>
      </text>
    </comment>
    <comment ref="A82" authorId="0" shapeId="0">
      <text>
        <r>
          <rPr>
            <sz val="8"/>
            <color indexed="81"/>
            <rFont val="Tahoma"/>
            <family val="2"/>
          </rPr>
          <t>Only used for economic calculations</t>
        </r>
      </text>
    </comment>
    <comment ref="A91" authorId="0" shapeId="0">
      <text>
        <r>
          <rPr>
            <sz val="8"/>
            <color indexed="81"/>
            <rFont val="Tahoma"/>
            <family val="2"/>
          </rPr>
          <t>Text for identification</t>
        </r>
      </text>
    </comment>
    <comment ref="A92" authorId="0" shapeId="0">
      <text>
        <r>
          <rPr>
            <sz val="8"/>
            <color indexed="81"/>
            <rFont val="Tahoma"/>
            <family val="2"/>
          </rPr>
          <t>Gross area including windows surface</t>
        </r>
      </text>
    </comment>
    <comment ref="A93" authorId="0" shapeId="0">
      <text>
        <r>
          <rPr>
            <sz val="8"/>
            <color indexed="81"/>
            <rFont val="Tahoma"/>
            <family val="2"/>
          </rPr>
          <t>Percentage occupied by windows expressed as a factor from 0 to 1</t>
        </r>
      </text>
    </comment>
    <comment ref="A94" authorId="0" shapeId="0">
      <text>
        <r>
          <rPr>
            <sz val="8"/>
            <color indexed="81"/>
            <rFont val="Tahoma"/>
            <family val="2"/>
          </rPr>
          <t>Select the most appropriate from combo list</t>
        </r>
      </text>
    </comment>
    <comment ref="A109" authorId="0" shapeId="0">
      <text>
        <r>
          <rPr>
            <sz val="8"/>
            <color indexed="81"/>
            <rFont val="Tahoma"/>
            <family val="2"/>
          </rPr>
          <t>Only used for economic calculations</t>
        </r>
      </text>
    </comment>
    <comment ref="A110" authorId="0" shapeId="0">
      <text>
        <r>
          <rPr>
            <sz val="8"/>
            <color indexed="81"/>
            <rFont val="Tahoma"/>
            <family val="2"/>
          </rPr>
          <t>Coste de la intervención en cerramientos sin aislamiento</t>
        </r>
      </text>
    </comment>
    <comment ref="A115" authorId="0" shapeId="0">
      <text>
        <r>
          <rPr>
            <sz val="8"/>
            <color indexed="81"/>
            <rFont val="Tahoma"/>
            <family val="2"/>
          </rPr>
          <t>Only used for economic calculations</t>
        </r>
      </text>
    </comment>
    <comment ref="A116" authorId="0" shapeId="0">
      <text>
        <r>
          <rPr>
            <sz val="8"/>
            <color indexed="81"/>
            <rFont val="Tahoma"/>
            <family val="2"/>
          </rPr>
          <t>Coste de la intervención en ventanas
En rehabilitación la parte del coste debida a la rehabilitación térmica</t>
        </r>
      </text>
    </comment>
    <comment ref="B179" authorId="0" shapeId="0">
      <text>
        <r>
          <rPr>
            <b/>
            <sz val="8"/>
            <color indexed="81"/>
            <rFont val="Tahoma"/>
            <family val="2"/>
          </rPr>
          <t>Expressen in values from 0 to 100</t>
        </r>
      </text>
    </comment>
    <comment ref="B196" authorId="0" shapeId="0">
      <text>
        <r>
          <rPr>
            <sz val="8"/>
            <color indexed="81"/>
            <rFont val="Tahoma"/>
            <family val="2"/>
          </rPr>
          <t>Default values</t>
        </r>
      </text>
    </comment>
    <comment ref="B197" authorId="0" shapeId="0">
      <text>
        <r>
          <rPr>
            <sz val="8"/>
            <color indexed="81"/>
            <rFont val="Tahoma"/>
            <family val="2"/>
          </rPr>
          <t xml:space="preserve">Default values
</t>
        </r>
      </text>
    </comment>
    <comment ref="B204" authorId="0" shapeId="0">
      <text>
        <r>
          <rPr>
            <sz val="8"/>
            <color indexed="81"/>
            <rFont val="Tahoma"/>
            <family val="2"/>
          </rPr>
          <t>Default values</t>
        </r>
      </text>
    </comment>
    <comment ref="B205" authorId="0" shapeId="0">
      <text>
        <r>
          <rPr>
            <sz val="8"/>
            <color indexed="81"/>
            <rFont val="Tahoma"/>
            <family val="2"/>
          </rPr>
          <t>Default values</t>
        </r>
      </text>
    </comment>
  </commentList>
</comments>
</file>

<file path=xl/comments2.xml><?xml version="1.0" encoding="utf-8"?>
<comments xmlns="http://schemas.openxmlformats.org/spreadsheetml/2006/main">
  <authors>
    <author>jsole</author>
  </authors>
  <commentList>
    <comment ref="B40" authorId="0" shapeId="0">
      <text>
        <r>
          <rPr>
            <sz val="8"/>
            <color indexed="81"/>
            <rFont val="Tahoma"/>
            <family val="2"/>
          </rPr>
          <t>Only used for economic calculations</t>
        </r>
      </text>
    </comment>
    <comment ref="B42" authorId="0" shapeId="0">
      <text>
        <r>
          <rPr>
            <sz val="8"/>
            <color indexed="81"/>
            <rFont val="Tahoma"/>
            <family val="2"/>
          </rPr>
          <t>Only used for economic calculations</t>
        </r>
      </text>
    </comment>
    <comment ref="B45" authorId="0" shapeId="0">
      <text>
        <r>
          <rPr>
            <sz val="8"/>
            <color indexed="81"/>
            <rFont val="Tahoma"/>
            <family val="2"/>
          </rPr>
          <t>Text for identification</t>
        </r>
      </text>
    </comment>
    <comment ref="B66" authorId="0" shapeId="0">
      <text>
        <r>
          <rPr>
            <sz val="8"/>
            <color indexed="81"/>
            <rFont val="Tahoma"/>
            <family val="2"/>
          </rPr>
          <t>Default values</t>
        </r>
      </text>
    </comment>
    <comment ref="B67" authorId="0" shapeId="0">
      <text>
        <r>
          <rPr>
            <sz val="8"/>
            <color indexed="81"/>
            <rFont val="Tahoma"/>
            <family val="2"/>
          </rPr>
          <t xml:space="preserve">Default values
</t>
        </r>
      </text>
    </comment>
  </commentList>
</comments>
</file>

<file path=xl/sharedStrings.xml><?xml version="1.0" encoding="utf-8"?>
<sst xmlns="http://schemas.openxmlformats.org/spreadsheetml/2006/main" count="3005" uniqueCount="1362">
  <si>
    <t>Qi</t>
  </si>
  <si>
    <t>Sup</t>
  </si>
  <si>
    <t>gi</t>
  </si>
  <si>
    <t>W</t>
  </si>
  <si>
    <t>m2</t>
  </si>
  <si>
    <t>Is(Sur)</t>
  </si>
  <si>
    <t>Is(Norte)</t>
  </si>
  <si>
    <t>Is(Este)</t>
  </si>
  <si>
    <t>Is(Oeste)</t>
  </si>
  <si>
    <t>C</t>
  </si>
  <si>
    <t>Dias</t>
  </si>
  <si>
    <t>C/(HT+HV)/60/60</t>
  </si>
  <si>
    <t>gi*24*dias/1000</t>
  </si>
  <si>
    <t>Enero</t>
  </si>
  <si>
    <t>ºC</t>
  </si>
  <si>
    <t>W/m2 dia</t>
  </si>
  <si>
    <t>W/K</t>
  </si>
  <si>
    <t>J/K</t>
  </si>
  <si>
    <t>As*Is*dias/1000</t>
  </si>
  <si>
    <t>Agosto</t>
  </si>
  <si>
    <t>EDIFICIO</t>
  </si>
  <si>
    <t>F.Oeste</t>
  </si>
  <si>
    <t>F.Sur</t>
  </si>
  <si>
    <t>F.Norte</t>
  </si>
  <si>
    <t>F.Este</t>
  </si>
  <si>
    <t>Geometria</t>
  </si>
  <si>
    <t>Sup util</t>
  </si>
  <si>
    <t>Inercia termica</t>
  </si>
  <si>
    <t>m</t>
  </si>
  <si>
    <t>(--) (0 a 1)</t>
  </si>
  <si>
    <t>W/m2·K</t>
  </si>
  <si>
    <t>(--)</t>
  </si>
  <si>
    <t>EXTERIOR</t>
  </si>
  <si>
    <t>Total</t>
  </si>
  <si>
    <t>(Sf*Uf+Sv*Uv)/S</t>
  </si>
  <si>
    <t>Is(Horitz)</t>
  </si>
  <si>
    <t>W/m2</t>
  </si>
  <si>
    <t>kJ/m2·K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</si>
  <si>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</si>
  <si>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</si>
  <si>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</si>
  <si>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</si>
  <si>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</si>
  <si>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</si>
  <si>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</si>
  <si>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</si>
  <si>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</si>
  <si>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</si>
  <si>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Calefacción</t>
  </si>
  <si>
    <t>Refrigeración</t>
  </si>
  <si>
    <t>Clima</t>
  </si>
  <si>
    <t>TEMPERATURAS MEDIAS MENSUALES</t>
  </si>
  <si>
    <t>RADIACION SOLAR HORIZONTAL W/m2 dia</t>
  </si>
  <si>
    <t>RADIACION SOLAR SUR W/m2 dia</t>
  </si>
  <si>
    <t>RADIACION SOLAR SUR-OESTE/ SUR -ESTE W/m2 dia</t>
  </si>
  <si>
    <t>RADIACION SOLAR OESTE/ESTE W/m2 dia</t>
  </si>
  <si>
    <t>RADIACION SOLAR Norte W/m2 dia</t>
  </si>
  <si>
    <t>Zona 2 a definir</t>
  </si>
  <si>
    <t>Zona 3 a definir</t>
  </si>
  <si>
    <t>Zona 4 a definir</t>
  </si>
  <si>
    <t>a (Calef)</t>
  </si>
  <si>
    <t>a (Refig)</t>
  </si>
  <si>
    <t>Ql (Calef)</t>
  </si>
  <si>
    <t>Ql (Refrig)</t>
  </si>
  <si>
    <t>Qs (Calefac)</t>
  </si>
  <si>
    <t>Qs (Refrig)</t>
  </si>
  <si>
    <t>As(Horitz) (Calefac)</t>
  </si>
  <si>
    <t>As(Horitz) (Refrig)</t>
  </si>
  <si>
    <t>As (Sur) (Calefac)</t>
  </si>
  <si>
    <t>As (Este) (Calefac)</t>
  </si>
  <si>
    <t>As (Norte) (Calefac)</t>
  </si>
  <si>
    <t>As (Oeste) (Calefac)</t>
  </si>
  <si>
    <t>As (Sur) (Refrig)</t>
  </si>
  <si>
    <t>As (Este) (Refrig)</t>
  </si>
  <si>
    <t>As (Norte) (refrig)</t>
  </si>
  <si>
    <t>As (Oeste) (refrig)</t>
  </si>
  <si>
    <t>Qs(horitz) (Calefac)</t>
  </si>
  <si>
    <t>Qs(Sur) (Calefac)</t>
  </si>
  <si>
    <t>Qs(Este) (Calefac)</t>
  </si>
  <si>
    <t>Qs(Norte) (Calefac)</t>
  </si>
  <si>
    <t>Qs(Oeste) (Calefac)</t>
  </si>
  <si>
    <t>Qs(horitz) (Refrig)</t>
  </si>
  <si>
    <t>Qs(Sur) (Refrig)</t>
  </si>
  <si>
    <t>Qs(Este) (Refrig)</t>
  </si>
  <si>
    <t>Qs(Norte) (Refrig)</t>
  </si>
  <si>
    <t>TOTAL KWh/año</t>
  </si>
  <si>
    <t>Is(Sureste)</t>
  </si>
  <si>
    <t>As (Sureste) (Calefac)</t>
  </si>
  <si>
    <t>As (Sureste) (Refrig)</t>
  </si>
  <si>
    <t>Qs(Sureste) (Calefac)</t>
  </si>
  <si>
    <t>Qs(Sureste) (Refrig)</t>
  </si>
  <si>
    <t>Is(Suroeste)</t>
  </si>
  <si>
    <t>As (Suroeste) (Calefac)</t>
  </si>
  <si>
    <t>As (Suroeste) (refrig)</t>
  </si>
  <si>
    <t>Qs(Suroeste) (Calefac)</t>
  </si>
  <si>
    <t>Qs(Suroeste) (Refrig)</t>
  </si>
  <si>
    <t>Qs(Oeste) (Refrig)</t>
  </si>
  <si>
    <t>F.SurEste</t>
  </si>
  <si>
    <t>F.SurOeste</t>
  </si>
  <si>
    <t>U opac</t>
  </si>
  <si>
    <t>T.Consigna</t>
  </si>
  <si>
    <t>Emplazamiento</t>
  </si>
  <si>
    <t>Renovación de aire</t>
  </si>
  <si>
    <t>Altura plantas</t>
  </si>
  <si>
    <t>Ganacias Internas</t>
  </si>
  <si>
    <t>% ventanas</t>
  </si>
  <si>
    <t>U ventanas</t>
  </si>
  <si>
    <t>Transp. Ventana</t>
  </si>
  <si>
    <t>F.Sombra Horizonte (Fsh)</t>
  </si>
  <si>
    <t>F.Carpinteria (Fc)</t>
  </si>
  <si>
    <t>F.Persianas (Calefacc.) (Fp.Cal)</t>
  </si>
  <si>
    <t>F.Persianas (Refrig) (Fp.Refrig)</t>
  </si>
  <si>
    <t>F.Cornisas (Fsc)</t>
  </si>
  <si>
    <t>F.Pantallas (Fsp)</t>
  </si>
  <si>
    <t>Sombras</t>
  </si>
  <si>
    <t>Carac Constructivas</t>
  </si>
  <si>
    <t>Fachadas</t>
  </si>
  <si>
    <t>Cubiertas</t>
  </si>
  <si>
    <t>U medio</t>
  </si>
  <si>
    <t>Transmission Termica</t>
  </si>
  <si>
    <t>Transmissión Ventilacion</t>
  </si>
  <si>
    <t>F. Sombras (Calefac.)</t>
  </si>
  <si>
    <t>F. Sombras (Refrig.)</t>
  </si>
  <si>
    <t>Area solar (Calefac)</t>
  </si>
  <si>
    <t>Area solar (Refrig.)</t>
  </si>
  <si>
    <t>Fsh*Fc*Fp.Cal*Fsc*Fsp</t>
  </si>
  <si>
    <t>Fsh*Fc*Fp.Refr*Fsc*Fsp</t>
  </si>
  <si>
    <t>Fs.Cal*tr*S</t>
  </si>
  <si>
    <t>Fs.Refr*tr*S</t>
  </si>
  <si>
    <t>Calefaccion</t>
  </si>
  <si>
    <t>Refrigeracion</t>
  </si>
  <si>
    <t>Demanda</t>
  </si>
  <si>
    <t>Eficiencia</t>
  </si>
  <si>
    <t>E.Final</t>
  </si>
  <si>
    <t>Paso A CO2</t>
  </si>
  <si>
    <t>Gas natural</t>
  </si>
  <si>
    <t>Gasoleo-C</t>
  </si>
  <si>
    <t>GLP</t>
  </si>
  <si>
    <t>Carbon</t>
  </si>
  <si>
    <t>Biomas</t>
  </si>
  <si>
    <t>Biofuel</t>
  </si>
  <si>
    <t>Electricidad Convencional (peninsula)</t>
  </si>
  <si>
    <t>Electricidad Convencional (extrapeninsula)</t>
  </si>
  <si>
    <t>Coeficientes paso E.Final a emisiones CO2 gr /kWh energia final</t>
  </si>
  <si>
    <t>Emisiones kg Co2</t>
  </si>
  <si>
    <t>n (verano)</t>
  </si>
  <si>
    <t>n (invierno)</t>
  </si>
  <si>
    <t>n(verano)*V*0,34</t>
  </si>
  <si>
    <t>n(invierno)*V*0,34</t>
  </si>
  <si>
    <t>HV (verano)</t>
  </si>
  <si>
    <t>HV (Invierno)</t>
  </si>
  <si>
    <t>D3</t>
  </si>
  <si>
    <t>B4</t>
  </si>
  <si>
    <t>C2</t>
  </si>
  <si>
    <t>Zona</t>
  </si>
  <si>
    <t>Zona 5 a definir</t>
  </si>
  <si>
    <t>Zona 6 a definir</t>
  </si>
  <si>
    <t>Zona 7 a definir</t>
  </si>
  <si>
    <t>No soleados</t>
  </si>
  <si>
    <t>Exterior</t>
  </si>
  <si>
    <t>Heating Degree Hours</t>
  </si>
  <si>
    <t>No heating Degree hours</t>
  </si>
  <si>
    <t>Cooling degree hours</t>
  </si>
  <si>
    <t>No Cooling degree Hours</t>
  </si>
  <si>
    <t>HDH</t>
  </si>
  <si>
    <t>NoHDH</t>
  </si>
  <si>
    <t>CDH</t>
  </si>
  <si>
    <t>NoCDH</t>
  </si>
  <si>
    <t>Factor PT (fPT)</t>
  </si>
  <si>
    <t>Temperatura del suelo</t>
  </si>
  <si>
    <t>Qtra(Calef)</t>
  </si>
  <si>
    <t>Qtra(Ref)</t>
  </si>
  <si>
    <t>Qi+Qs+Qtra(calef)</t>
  </si>
  <si>
    <t>Qi+Qs+Qtra(refrig)</t>
  </si>
  <si>
    <t>(Qt(calefac))/Ql</t>
  </si>
  <si>
    <t>Qt=Qi+Qs (Calefac)+Qtra(calef)</t>
  </si>
  <si>
    <t>QT=Qi+Qs (Refrig)+Qtra(refirig)</t>
  </si>
  <si>
    <t>Ql/(QT(refrig))</t>
  </si>
  <si>
    <t>HT(refrig)</t>
  </si>
  <si>
    <t>HT(calefacc)</t>
  </si>
  <si>
    <r>
      <t>Ql-(Qi+Qs)*</t>
    </r>
    <r>
      <rPr>
        <b/>
        <sz val="11"/>
        <rFont val="Symbol"/>
        <family val="1"/>
        <charset val="2"/>
      </rPr>
      <t>h</t>
    </r>
  </si>
  <si>
    <r>
      <t>Ql*</t>
    </r>
    <r>
      <rPr>
        <b/>
        <sz val="11"/>
        <rFont val="Symbol"/>
        <family val="1"/>
        <charset val="2"/>
      </rPr>
      <t>h</t>
    </r>
    <r>
      <rPr>
        <b/>
        <sz val="11"/>
        <rFont val="Arial"/>
        <family val="2"/>
      </rPr>
      <t>-(Q+Qs)</t>
    </r>
  </si>
  <si>
    <r>
      <t>Coef.Exposición</t>
    </r>
    <r>
      <rPr>
        <sz val="11"/>
        <rFont val="Symbol"/>
        <family val="1"/>
        <charset val="2"/>
      </rPr>
      <t xml:space="preserve"> t</t>
    </r>
  </si>
  <si>
    <r>
      <t>S*U*</t>
    </r>
    <r>
      <rPr>
        <sz val="11"/>
        <rFont val="Symbol"/>
        <family val="1"/>
        <charset val="2"/>
      </rPr>
      <t xml:space="preserve">t </t>
    </r>
    <r>
      <rPr>
        <sz val="11"/>
        <rFont val="Arial"/>
        <family val="2"/>
      </rPr>
      <t>*fPT</t>
    </r>
  </si>
  <si>
    <r>
      <t>q</t>
    </r>
    <r>
      <rPr>
        <sz val="11"/>
        <rFont val="Arial"/>
        <family val="2"/>
      </rPr>
      <t>e</t>
    </r>
  </si>
  <si>
    <r>
      <t>q</t>
    </r>
    <r>
      <rPr>
        <sz val="11"/>
        <rFont val="Arial"/>
        <family val="2"/>
      </rPr>
      <t>suelo</t>
    </r>
  </si>
  <si>
    <r>
      <t>q</t>
    </r>
    <r>
      <rPr>
        <sz val="11"/>
        <rFont val="Arial"/>
        <family val="2"/>
      </rPr>
      <t>i (Calef)</t>
    </r>
  </si>
  <si>
    <r>
      <t>q</t>
    </r>
    <r>
      <rPr>
        <sz val="11"/>
        <rFont val="Arial"/>
        <family val="2"/>
      </rPr>
      <t>i (Refig)</t>
    </r>
  </si>
  <si>
    <r>
      <t>S</t>
    </r>
    <r>
      <rPr>
        <sz val="11"/>
        <rFont val="Arial"/>
        <family val="2"/>
      </rPr>
      <t xml:space="preserve"> Qs(i)</t>
    </r>
  </si>
  <si>
    <r>
      <t xml:space="preserve">g </t>
    </r>
    <r>
      <rPr>
        <sz val="11"/>
        <rFont val="Arial"/>
        <family val="2"/>
      </rPr>
      <t>(calefac)</t>
    </r>
  </si>
  <si>
    <r>
      <t xml:space="preserve">l </t>
    </r>
    <r>
      <rPr>
        <sz val="11"/>
        <rFont val="Arial"/>
        <family val="2"/>
      </rPr>
      <t>(Refrig)</t>
    </r>
  </si>
  <si>
    <r>
      <t>t</t>
    </r>
    <r>
      <rPr>
        <sz val="11"/>
        <rFont val="Arial"/>
        <family val="2"/>
      </rPr>
      <t xml:space="preserve"> (calefaccion)</t>
    </r>
  </si>
  <si>
    <r>
      <t>t</t>
    </r>
    <r>
      <rPr>
        <sz val="11"/>
        <rFont val="Arial"/>
        <family val="2"/>
      </rPr>
      <t xml:space="preserve"> (refrigeracion)</t>
    </r>
  </si>
  <si>
    <r>
      <t>1+</t>
    </r>
    <r>
      <rPr>
        <sz val="11"/>
        <rFont val="Symbol"/>
        <family val="1"/>
        <charset val="2"/>
      </rPr>
      <t>t</t>
    </r>
    <r>
      <rPr>
        <sz val="11"/>
        <rFont val="Arial"/>
        <family val="2"/>
      </rPr>
      <t>/15</t>
    </r>
  </si>
  <si>
    <r>
      <t xml:space="preserve">h </t>
    </r>
    <r>
      <rPr>
        <sz val="11"/>
        <rFont val="Arial"/>
        <family val="2"/>
      </rPr>
      <t>(Calef)</t>
    </r>
  </si>
  <si>
    <r>
      <t>(1-</t>
    </r>
    <r>
      <rPr>
        <sz val="11"/>
        <rFont val="Symbol"/>
        <family val="1"/>
        <charset val="2"/>
      </rPr>
      <t>g</t>
    </r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>)/(1-</t>
    </r>
    <r>
      <rPr>
        <sz val="11"/>
        <rFont val="Symbol"/>
        <family val="1"/>
        <charset val="2"/>
      </rPr>
      <t>g</t>
    </r>
    <r>
      <rPr>
        <vertAlign val="superscript"/>
        <sz val="11"/>
        <rFont val="Arial"/>
        <family val="2"/>
      </rPr>
      <t>(a+1)</t>
    </r>
    <r>
      <rPr>
        <sz val="11"/>
        <rFont val="Arial"/>
        <family val="2"/>
      </rPr>
      <t>)</t>
    </r>
  </si>
  <si>
    <r>
      <t xml:space="preserve">h </t>
    </r>
    <r>
      <rPr>
        <sz val="11"/>
        <rFont val="Arial"/>
        <family val="2"/>
      </rPr>
      <t>(Refrig)</t>
    </r>
  </si>
  <si>
    <r>
      <t>(1-</t>
    </r>
    <r>
      <rPr>
        <sz val="11"/>
        <rFont val="Symbol"/>
        <family val="1"/>
        <charset val="2"/>
      </rPr>
      <t>l</t>
    </r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>)/(1-</t>
    </r>
    <r>
      <rPr>
        <sz val="11"/>
        <rFont val="Symbol"/>
        <family val="1"/>
        <charset val="2"/>
      </rPr>
      <t>l</t>
    </r>
    <r>
      <rPr>
        <vertAlign val="superscript"/>
        <sz val="11"/>
        <rFont val="Arial"/>
        <family val="2"/>
      </rPr>
      <t>(a+1)</t>
    </r>
    <r>
      <rPr>
        <sz val="11"/>
        <rFont val="Arial"/>
        <family val="2"/>
      </rPr>
      <t>)</t>
    </r>
  </si>
  <si>
    <t>Roma</t>
  </si>
  <si>
    <t>Firenze</t>
  </si>
  <si>
    <t>Belgrade</t>
  </si>
  <si>
    <t>Moscow</t>
  </si>
  <si>
    <t>Saint-Petersburg</t>
  </si>
  <si>
    <t>Warsaw</t>
  </si>
  <si>
    <t>Ljubljana</t>
  </si>
  <si>
    <t>Berlin</t>
  </si>
  <si>
    <t>Munich</t>
  </si>
  <si>
    <t>Istambul</t>
  </si>
  <si>
    <t>U value opaque wall (W/m2K)</t>
  </si>
  <si>
    <t>U value windows (W/m2K)</t>
  </si>
  <si>
    <t>Solar factor windows (0 to 1)</t>
  </si>
  <si>
    <t>--</t>
  </si>
  <si>
    <t>Exposure Factor (0 to 1)</t>
  </si>
  <si>
    <t>Internal Gains</t>
  </si>
  <si>
    <t>© Josep Sole</t>
  </si>
  <si>
    <t>Cubierta</t>
  </si>
  <si>
    <t>Ground floors</t>
  </si>
  <si>
    <t>Solar factor summer protections. (0-1)</t>
  </si>
  <si>
    <t>Transm. suelo(calefacc)</t>
  </si>
  <si>
    <t>Transm. suelo(Refrig)</t>
  </si>
  <si>
    <t>kWh/mes</t>
  </si>
  <si>
    <t>TransmSuelo+(HTcalef+HVinv)*HDH/1000</t>
  </si>
  <si>
    <t>TransmSuelo+(HTcalef+HVinv)*NoHDH/1000</t>
  </si>
  <si>
    <t>ganacias</t>
  </si>
  <si>
    <t>disipacion</t>
  </si>
  <si>
    <t>TransmSuelo+(HTrefr+HVver)*NoCDH/1000</t>
  </si>
  <si>
    <t>TransmSuelo+(HTrefr+HVinv)*CDH/1000</t>
  </si>
  <si>
    <t>ganancias calefaccion</t>
  </si>
  <si>
    <t>ganacias refrigeracion</t>
  </si>
  <si>
    <t>Verificación</t>
  </si>
  <si>
    <t>Heating losses</t>
  </si>
  <si>
    <t>Cooling losses</t>
  </si>
  <si>
    <t>Cooling gains</t>
  </si>
  <si>
    <t>Solar gains Heating</t>
  </si>
  <si>
    <t>Solar gains cooling</t>
  </si>
  <si>
    <t>Total Gains Heating</t>
  </si>
  <si>
    <t>Total Gains cooling</t>
  </si>
  <si>
    <t>Gains/losses heating</t>
  </si>
  <si>
    <t>Losses/Gains Cooling</t>
  </si>
  <si>
    <t>Heating gains</t>
  </si>
  <si>
    <t>&gt;0 menas Losses</t>
  </si>
  <si>
    <t>&lt;0 means losses</t>
  </si>
  <si>
    <t>after</t>
  </si>
  <si>
    <t>before</t>
  </si>
  <si>
    <t>Rins</t>
  </si>
  <si>
    <t>U</t>
  </si>
  <si>
    <t>R value</t>
  </si>
  <si>
    <t>Fs</t>
  </si>
  <si>
    <t>Cooling Degree Hours (26º)</t>
  </si>
  <si>
    <t>No Cooling Degree Hours (26ºC)</t>
  </si>
  <si>
    <t>Heating Degree Hours (19ºC)</t>
  </si>
  <si>
    <t>No Heating Degree Hours (19ºC)</t>
  </si>
  <si>
    <t>Krakow</t>
  </si>
  <si>
    <t>(Es) Barcelona</t>
  </si>
  <si>
    <t>(Es) Madrid</t>
  </si>
  <si>
    <t>(Fr) Marseille</t>
  </si>
  <si>
    <t>(Fr) Paris</t>
  </si>
  <si>
    <t>(Es) Sevilla</t>
  </si>
  <si>
    <t>(Es) Valencia</t>
  </si>
  <si>
    <t>(Fr) Bordeaux</t>
  </si>
  <si>
    <t>(Fr) Brest</t>
  </si>
  <si>
    <t>(Fr) Clermond Ferrand</t>
  </si>
  <si>
    <t>(Fr) Dijon</t>
  </si>
  <si>
    <t>(Fr) Montpellier</t>
  </si>
  <si>
    <t>(Fr) Nancy</t>
  </si>
  <si>
    <t>(Fr) Nantes</t>
  </si>
  <si>
    <t>(Fr) Strasbourg</t>
  </si>
  <si>
    <t>Masa térmica interior (kg/m2)</t>
  </si>
  <si>
    <t>Factor de puentes térmicos</t>
  </si>
  <si>
    <t>Aislamiento adicional</t>
  </si>
  <si>
    <t>Exposición</t>
  </si>
  <si>
    <t>Ventilación nocturna en verano (n)</t>
  </si>
  <si>
    <t>Protección solar verano</t>
  </si>
  <si>
    <t>Ciudad</t>
  </si>
  <si>
    <t>Usual (n=0,75)</t>
  </si>
  <si>
    <t>Masa térmica interior</t>
  </si>
  <si>
    <t>Factor puentes térmicos</t>
  </si>
  <si>
    <t>Aislamiento Cerramientos</t>
  </si>
  <si>
    <t>Ventanas</t>
  </si>
  <si>
    <t>Infiltración y ventilación (n)</t>
  </si>
  <si>
    <t>Usual (n=3)</t>
  </si>
  <si>
    <t>Ganancias internas (W/m2)</t>
  </si>
  <si>
    <t>Regular (Rais=2,5)</t>
  </si>
  <si>
    <t>PassivHauss (Rais=10)</t>
  </si>
  <si>
    <t>Ganancias internas</t>
  </si>
  <si>
    <t>Perdidas Transmisión</t>
  </si>
  <si>
    <t>Perdidas Suelo</t>
  </si>
  <si>
    <t>Perdidas Ventilación</t>
  </si>
  <si>
    <t>Ganancias Solares</t>
  </si>
  <si>
    <t>Ganancias Transmisión</t>
  </si>
  <si>
    <t>Ganancias Suelo</t>
  </si>
  <si>
    <t>Ganancias Ventilación</t>
  </si>
  <si>
    <t>Usual (f=0,7)</t>
  </si>
  <si>
    <t>(ES) Avila</t>
  </si>
  <si>
    <t>E1</t>
  </si>
  <si>
    <t>(Es) Bilbao</t>
  </si>
  <si>
    <t>C1</t>
  </si>
  <si>
    <t>(Es) Burgos</t>
  </si>
  <si>
    <t>B3</t>
  </si>
  <si>
    <t>(Es) Santander</t>
  </si>
  <si>
    <t>(Es) Soria</t>
  </si>
  <si>
    <t>(Es) Toledo</t>
  </si>
  <si>
    <t>C4</t>
  </si>
  <si>
    <t>(Es) Valladolid</t>
  </si>
  <si>
    <t>D2</t>
  </si>
  <si>
    <t>(Es) Vitoria</t>
  </si>
  <si>
    <t>D1</t>
  </si>
  <si>
    <t>(Es) Zamora</t>
  </si>
  <si>
    <t>(Es) Zaragoza</t>
  </si>
  <si>
    <t>(Es) Caceres</t>
  </si>
  <si>
    <t>(Es) Girona</t>
  </si>
  <si>
    <t>(Es) Lleida</t>
  </si>
  <si>
    <t>(Es) Tarragona</t>
  </si>
  <si>
    <t>(Es) Albacete</t>
  </si>
  <si>
    <t>(Es) Alicante</t>
  </si>
  <si>
    <t>(Es) Almeria</t>
  </si>
  <si>
    <t>(Es) Badajoz</t>
  </si>
  <si>
    <t>(Es) Cadiz</t>
  </si>
  <si>
    <t>(Es) Castellon</t>
  </si>
  <si>
    <t>(Es) Ciudad Real</t>
  </si>
  <si>
    <t>(Es) Cordoba</t>
  </si>
  <si>
    <t>(Es) Cuenca</t>
  </si>
  <si>
    <t>(Es) Granada</t>
  </si>
  <si>
    <t>(Es) Guadalajara</t>
  </si>
  <si>
    <t>(Es) Huelva</t>
  </si>
  <si>
    <t>(Es) Huesca</t>
  </si>
  <si>
    <t>(Es) La Coruña</t>
  </si>
  <si>
    <t>(Es) Las Palmas</t>
  </si>
  <si>
    <t>(Es) Leon</t>
  </si>
  <si>
    <t>(Es) Logroño</t>
  </si>
  <si>
    <t>(Es) Lugo</t>
  </si>
  <si>
    <t>(Es) Malaga</t>
  </si>
  <si>
    <t>(Es) Murcia</t>
  </si>
  <si>
    <t>(Es) Orense</t>
  </si>
  <si>
    <t>(Es) Oviedo</t>
  </si>
  <si>
    <t>(Es) Palencia</t>
  </si>
  <si>
    <t>(Es) Pamplona</t>
  </si>
  <si>
    <t>(Es) Pontevedra</t>
  </si>
  <si>
    <t>(Es) Salamanca</t>
  </si>
  <si>
    <t>(Es) San Sebastian</t>
  </si>
  <si>
    <t>(Es) Segovia</t>
  </si>
  <si>
    <t>(Es) Tenerife</t>
  </si>
  <si>
    <t>(Es) Teruel</t>
  </si>
  <si>
    <t>A4</t>
  </si>
  <si>
    <t>A3</t>
  </si>
  <si>
    <t>C3</t>
  </si>
  <si>
    <t>kWh</t>
  </si>
  <si>
    <t>kWh/m2</t>
  </si>
  <si>
    <t>Opacos</t>
  </si>
  <si>
    <t>Perdidas Trans (ventanas)</t>
  </si>
  <si>
    <t>Perdidas Trans (opacos)</t>
  </si>
  <si>
    <t>Ganancias Trans (ventanas)</t>
  </si>
  <si>
    <t>Ganancias Trans (huecos)</t>
  </si>
  <si>
    <t>Calefacción kWh/m2</t>
  </si>
  <si>
    <t>Refrigeración kWh/m2</t>
  </si>
  <si>
    <t>Calefaccion kWh</t>
  </si>
  <si>
    <t>Refrigeracion kWh</t>
  </si>
  <si>
    <t>SITUACION FINAL</t>
  </si>
  <si>
    <t>%</t>
  </si>
  <si>
    <t>apabcn5163</t>
  </si>
  <si>
    <t>TOTAL</t>
  </si>
  <si>
    <t>Comparacion Balances térmicos</t>
  </si>
  <si>
    <t>HEATING</t>
  </si>
  <si>
    <t>id</t>
  </si>
  <si>
    <t>Temperate zone</t>
  </si>
  <si>
    <t>Cold Zone</t>
  </si>
  <si>
    <t>Distribution Temp. 35ºC</t>
  </si>
  <si>
    <t>Distribution Temp. 40 ºC</t>
  </si>
  <si>
    <t>Distribution Temp. 45 ºC</t>
  </si>
  <si>
    <t>Distribution Temp. 50 ºC</t>
  </si>
  <si>
    <t>Distribution Temp. 55 ºC</t>
  </si>
  <si>
    <t>Any Distribution Temp.</t>
  </si>
  <si>
    <t>Id</t>
  </si>
  <si>
    <t>Condensation Boiler</t>
  </si>
  <si>
    <t>Standard heating boiler</t>
  </si>
  <si>
    <t>Caldera calefacción combustión estándar</t>
  </si>
  <si>
    <t>Low temperature heating boiler</t>
  </si>
  <si>
    <t>Caldera calefacción combustión baja temperatura</t>
  </si>
  <si>
    <t>Caldera calefacción combustión de condensación</t>
  </si>
  <si>
    <t>Gas</t>
  </si>
  <si>
    <t>Biomass heating boiler</t>
  </si>
  <si>
    <t>Caldera calefacción combustión de biomasa</t>
  </si>
  <si>
    <t>Biomass heating boiler EN 303-5:1999</t>
  </si>
  <si>
    <t>Caldera calefacción combustión de biomasa UNE-EN 303-5:1999</t>
  </si>
  <si>
    <t>Standard heating and DHW boiler</t>
  </si>
  <si>
    <t>Caldera mixta combustión estándar</t>
  </si>
  <si>
    <t>Low temperature heating and DHW boiler</t>
  </si>
  <si>
    <t>Caldera mixta combustión baja temperatura</t>
  </si>
  <si>
    <t>Condensation heating and DHW boiler</t>
  </si>
  <si>
    <t>Caldera mixta combustión de condensación</t>
  </si>
  <si>
    <t>COOLING</t>
  </si>
  <si>
    <t>Biomass heating and DHW boiler</t>
  </si>
  <si>
    <t>Caldera mixta combustión de biomasa</t>
  </si>
  <si>
    <t>Biomass heating and DHW boiler EN 303-5:1999</t>
  </si>
  <si>
    <t>Caldera mixta combustión de biomasa UNE-EN 303-5:1999</t>
  </si>
  <si>
    <t>HP centralized single family house</t>
  </si>
  <si>
    <t>BdC Equipos centralizados (viviendas unifamiliares)</t>
  </si>
  <si>
    <t>HP type split single or multi family houses</t>
  </si>
  <si>
    <t>HP centralized multi family houses</t>
  </si>
  <si>
    <t xml:space="preserve">BdC Equipos centralizados (viviendas en bloque) </t>
  </si>
  <si>
    <t>BdC tipo split (viviendas individuales y viviendas en bloque)</t>
  </si>
  <si>
    <t>HP geothermal vertical interchanger single family house</t>
  </si>
  <si>
    <t>BdC geotérmicas con intercambiadores verticales (viviendas unifamiliares)</t>
  </si>
  <si>
    <t>Electricity Mix UCPTE</t>
  </si>
  <si>
    <t>HP geothermal vertical interchanger multi family house</t>
  </si>
  <si>
    <t>BdC geotérmicas con intercambiadores verticales (viviendas en bloque)</t>
  </si>
  <si>
    <t>BdC geotérmicas con intercambiadores horizontales (viviendas unifamiliares)</t>
  </si>
  <si>
    <t>Distribution Temp. 7ºC</t>
  </si>
  <si>
    <t>Distribution Temp. 12 ºC</t>
  </si>
  <si>
    <t>Distribution Temp. 17 ºC</t>
  </si>
  <si>
    <t>Bdc Equipos centralizados (viviendas en bloque)</t>
  </si>
  <si>
    <t>From EN 15603</t>
  </si>
  <si>
    <t>Primary energy factor</t>
  </si>
  <si>
    <t>Non Renewable</t>
  </si>
  <si>
    <t>grCO2/kWhfinal</t>
  </si>
  <si>
    <t>Fuel oil</t>
  </si>
  <si>
    <t>Anthracite</t>
  </si>
  <si>
    <t>Antracita</t>
  </si>
  <si>
    <t>Lignite</t>
  </si>
  <si>
    <t>Lignito</t>
  </si>
  <si>
    <t>Coke</t>
  </si>
  <si>
    <t>Wood shavings</t>
  </si>
  <si>
    <t>Biomasa</t>
  </si>
  <si>
    <t>Log</t>
  </si>
  <si>
    <t>Beech log</t>
  </si>
  <si>
    <t>Madera haya</t>
  </si>
  <si>
    <t>Fir log</t>
  </si>
  <si>
    <t>Madera abeto</t>
  </si>
  <si>
    <t>Electricity from hydraulic power plant</t>
  </si>
  <si>
    <t>Electricidad (hidroelectrica)</t>
  </si>
  <si>
    <t>Electricity from nuclear power plant</t>
  </si>
  <si>
    <t>Electricidad (nuclear)</t>
  </si>
  <si>
    <t>Electricity from coal power plant</t>
  </si>
  <si>
    <t>Electricidad (térmica)</t>
  </si>
  <si>
    <t>With cooling</t>
  </si>
  <si>
    <t>Without Cooling</t>
  </si>
  <si>
    <t>Coef1. Eficiencia estacional</t>
  </si>
  <si>
    <t>Coef2. Eficiencia estacional</t>
  </si>
  <si>
    <t>Eficiencia estacional</t>
  </si>
  <si>
    <t>Coste unitario intervencion €/m2</t>
  </si>
  <si>
    <t>Coste total intervencion €</t>
  </si>
  <si>
    <t>€</t>
  </si>
  <si>
    <t>€/m2</t>
  </si>
  <si>
    <t>(Pt) Bragança</t>
  </si>
  <si>
    <t>Pt</t>
  </si>
  <si>
    <t>(Pt) Coimbra</t>
  </si>
  <si>
    <t>(Pt) Evora</t>
  </si>
  <si>
    <t>(Pt) Faro</t>
  </si>
  <si>
    <t>(Pt) Lajes</t>
  </si>
  <si>
    <t>(Pt) Lisboa</t>
  </si>
  <si>
    <t>(Pt) Porto</t>
  </si>
  <si>
    <t>CALIFICACION ENERGETICA ORIENTATIVA</t>
  </si>
  <si>
    <t xml:space="preserve">Tipo edificio </t>
  </si>
  <si>
    <t>Unifamiliar</t>
  </si>
  <si>
    <t>Bloque</t>
  </si>
  <si>
    <t>G</t>
  </si>
  <si>
    <t>A</t>
  </si>
  <si>
    <t>B</t>
  </si>
  <si>
    <t>D</t>
  </si>
  <si>
    <t>E</t>
  </si>
  <si>
    <t>F</t>
  </si>
  <si>
    <t>Calificación energética orientativa Situación Final</t>
  </si>
  <si>
    <t>Limite Inferior</t>
  </si>
  <si>
    <t>Limite superior</t>
  </si>
  <si>
    <t>Biomasa (ES)</t>
  </si>
  <si>
    <t>Electricidad (ES)</t>
  </si>
  <si>
    <t>Demanda ACS UNIFAMILAR</t>
  </si>
  <si>
    <t>Demanda ACS BLOQUE</t>
  </si>
  <si>
    <t>EP ACS Unifamiliar</t>
  </si>
  <si>
    <t>EP.ACS Bloque</t>
  </si>
  <si>
    <t>Co2 ACS Unifamiliar</t>
  </si>
  <si>
    <t>CO2 ACS Bloque</t>
  </si>
  <si>
    <t>Emisiones para calificación</t>
  </si>
  <si>
    <t>(Es) Palma Mallorca</t>
  </si>
  <si>
    <t>kgCO2/m2</t>
  </si>
  <si>
    <t>Ventilacion recuperador de calor</t>
  </si>
  <si>
    <t>Calificación energética orientativa Situación Inicial</t>
  </si>
  <si>
    <t>CLASE</t>
  </si>
  <si>
    <r>
      <t>kgCo2/m</t>
    </r>
    <r>
      <rPr>
        <vertAlign val="superscript"/>
        <sz val="10"/>
        <rFont val="Arial"/>
        <family val="2"/>
      </rPr>
      <t>2</t>
    </r>
  </si>
  <si>
    <t>Cualquiera</t>
  </si>
  <si>
    <t>Subtotal (€)</t>
  </si>
  <si>
    <t>INICIAL</t>
  </si>
  <si>
    <t>FINAL</t>
  </si>
  <si>
    <t>Ganancias Trans (opacos)</t>
  </si>
  <si>
    <t>Marca</t>
  </si>
  <si>
    <t>Producto</t>
  </si>
  <si>
    <t>TERRA</t>
  </si>
  <si>
    <t>T18R URSA TERRA</t>
  </si>
  <si>
    <t>T18P URSA TERRA</t>
  </si>
  <si>
    <t>T22P URSA TERRA PLUS</t>
  </si>
  <si>
    <t>T70P URSA TERRA SOL</t>
  </si>
  <si>
    <t>P4252 URSA Terra Vento</t>
  </si>
  <si>
    <t>P8792 URSA Terra Vento Plus</t>
  </si>
  <si>
    <t>P8741 URSA Terra Vento R</t>
  </si>
  <si>
    <t>T1021 URSA Terra Manta Papel</t>
  </si>
  <si>
    <t>URSA GLASSWOOL</t>
  </si>
  <si>
    <t>P0022 Panel Medianeras</t>
  </si>
  <si>
    <t xml:space="preserve">P1281 Panel Mur en rollo </t>
  </si>
  <si>
    <t xml:space="preserve">P1281 Panel Mur </t>
  </si>
  <si>
    <t>P0051 R Panel Fieltro en rollo</t>
  </si>
  <si>
    <t>P0051 Panel Fieltro</t>
  </si>
  <si>
    <t>P0081 Panel Acustic en rollo</t>
  </si>
  <si>
    <t>P0081 Panel Acustic</t>
  </si>
  <si>
    <t>P4222 Panel VN rollo</t>
  </si>
  <si>
    <t>M4121 Manta paramento reforzada</t>
  </si>
  <si>
    <t>URSA-AIR</t>
  </si>
  <si>
    <t>P8858 URSA AIR ZERO</t>
  </si>
  <si>
    <t>P8880  URSA AIR ZERO A2</t>
  </si>
  <si>
    <t>M8703  URSA AIR ZERO IN</t>
  </si>
  <si>
    <t>URSA XPS</t>
  </si>
  <si>
    <t>N FT</t>
  </si>
  <si>
    <t>HR L</t>
  </si>
  <si>
    <t>NIII I</t>
  </si>
  <si>
    <t>NIII L</t>
  </si>
  <si>
    <t>NIII PR</t>
  </si>
  <si>
    <t>NV L</t>
  </si>
  <si>
    <t>NW E</t>
  </si>
  <si>
    <t xml:space="preserve">RG </t>
  </si>
  <si>
    <t>Esp. 
(mm)</t>
  </si>
  <si>
    <t>Ancho 
(mm)</t>
  </si>
  <si>
    <t>Largo 
(mm)</t>
  </si>
  <si>
    <r>
      <t>R.Termica 
(m</t>
    </r>
    <r>
      <rPr>
        <b/>
        <vertAlign val="superscript"/>
        <sz val="9"/>
        <color theme="0"/>
        <rFont val="Arial"/>
        <family val="2"/>
      </rPr>
      <t>2</t>
    </r>
    <r>
      <rPr>
        <b/>
        <sz val="9"/>
        <color theme="0"/>
        <rFont val="Arial"/>
        <family val="2"/>
      </rPr>
      <t>·K/W)</t>
    </r>
  </si>
  <si>
    <t>P5858 Panel Alu - Alu</t>
  </si>
  <si>
    <t>P6058 Panel Alu - dB</t>
  </si>
  <si>
    <t>P8058 Panel Alu - TECH2</t>
  </si>
  <si>
    <t>M2021 Manta aluminio</t>
  </si>
  <si>
    <t xml:space="preserve">M5102L Manta aluminio reforzada </t>
  </si>
  <si>
    <t>M3603 Manta aluminio puro incombustible</t>
  </si>
  <si>
    <t>M0021 Manta fieltro</t>
  </si>
  <si>
    <t>M1021 Manta papel</t>
  </si>
  <si>
    <t>P1051 Panel papel</t>
  </si>
  <si>
    <t>P2363 Panel aluminio gofrado</t>
  </si>
  <si>
    <t>R 1ª Capa m2·K/W</t>
  </si>
  <si>
    <t>R 2ºª Capa m2·K/W</t>
  </si>
  <si>
    <t>Otro producto 1</t>
  </si>
  <si>
    <t>Otro producto 2</t>
  </si>
  <si>
    <t>Otro producto 3</t>
  </si>
  <si>
    <t>Otro producto 4</t>
  </si>
  <si>
    <t>Otro producto 5</t>
  </si>
  <si>
    <t>Otro producto 6</t>
  </si>
  <si>
    <t>Otro producto 7</t>
  </si>
  <si>
    <t>Otro producto 8</t>
  </si>
  <si>
    <t>Otro producto 9</t>
  </si>
  <si>
    <t>Otro producto 10</t>
  </si>
  <si>
    <t>Otro producto 11</t>
  </si>
  <si>
    <t>Otro producto 12</t>
  </si>
  <si>
    <t>Otro producto 13</t>
  </si>
  <si>
    <t>TERRA T18R(45)</t>
  </si>
  <si>
    <t>TERRA T18R(65)</t>
  </si>
  <si>
    <t>TERRA T18R(85)</t>
  </si>
  <si>
    <t>TERRA T18P(45)</t>
  </si>
  <si>
    <t>TERRA T18P(65)</t>
  </si>
  <si>
    <t>Panel Medianeras(30)</t>
  </si>
  <si>
    <t>Panel Medianeras(40)</t>
  </si>
  <si>
    <t>Panel Medianeras(50)</t>
  </si>
  <si>
    <t>Panel Mur en rollo (50)</t>
  </si>
  <si>
    <t>Panel Mur en rollo (60)</t>
  </si>
  <si>
    <t>Panel Mur (50)</t>
  </si>
  <si>
    <t>Panel Mur (60)</t>
  </si>
  <si>
    <t>Panel Mur (80)</t>
  </si>
  <si>
    <t>Panel Fieltro(50)</t>
  </si>
  <si>
    <t>Panel Fieltro(60)</t>
  </si>
  <si>
    <t>Panel Fieltro(75)</t>
  </si>
  <si>
    <t>Panel papel(60)</t>
  </si>
  <si>
    <t>Panel papel(75)</t>
  </si>
  <si>
    <t>Panel Acustic(45)</t>
  </si>
  <si>
    <t>Panel Acustic(65)</t>
  </si>
  <si>
    <t>Panel VN rollo(25)</t>
  </si>
  <si>
    <t>Manta fieltro(80)</t>
  </si>
  <si>
    <t>Manta fieltro(100)</t>
  </si>
  <si>
    <t>Manta fieltro(120)</t>
  </si>
  <si>
    <t>Manta papel(80)</t>
  </si>
  <si>
    <t>Manta papel(100)</t>
  </si>
  <si>
    <t>Manta papel(120)</t>
  </si>
  <si>
    <t>Manta papel(140)</t>
  </si>
  <si>
    <t>Manta P.reforzada(60)</t>
  </si>
  <si>
    <t>Manta P.reforzada(75)</t>
  </si>
  <si>
    <t>Manta P.reforzada(100)</t>
  </si>
  <si>
    <t>P. Aluminio gofrado(50)</t>
  </si>
  <si>
    <t>URSA AIR ZERO(25)</t>
  </si>
  <si>
    <t>URSA AIR ZERO A2(25)</t>
  </si>
  <si>
    <t>Panel Alu - Alu(25)</t>
  </si>
  <si>
    <t>Panel Alu - dB(25)</t>
  </si>
  <si>
    <t>Panel Alu - TECH2(25)</t>
  </si>
  <si>
    <t>Manta aluminio(55)</t>
  </si>
  <si>
    <t>Manta aluminio(100)</t>
  </si>
  <si>
    <t>Manta Al. reforzada (30)</t>
  </si>
  <si>
    <t>Manta Al.reforzada (40)</t>
  </si>
  <si>
    <t>Manta Al.reforzada (50)</t>
  </si>
  <si>
    <t>Manta Al.incombustible(25)</t>
  </si>
  <si>
    <t>Manta Al.incombustible(50)</t>
  </si>
  <si>
    <t>URSA AIR ZERO IN(25)</t>
  </si>
  <si>
    <t>URSA AIR ZERO IN(40)</t>
  </si>
  <si>
    <t>XPS N FT(30)</t>
  </si>
  <si>
    <t>XPS N FT(40)</t>
  </si>
  <si>
    <t>XPS N FT(50)</t>
  </si>
  <si>
    <t>XPS N FT(60)</t>
  </si>
  <si>
    <t>XPS HR L(50)</t>
  </si>
  <si>
    <t>XPS HR L(60)</t>
  </si>
  <si>
    <t>XPS HR L(70)</t>
  </si>
  <si>
    <t>XPS NIII I(30)</t>
  </si>
  <si>
    <t>XPS NIII I(40)</t>
  </si>
  <si>
    <t>XPS NIII I(50)</t>
  </si>
  <si>
    <t>XPS NIII L(30)</t>
  </si>
  <si>
    <t>XPS NIII L(40)</t>
  </si>
  <si>
    <t>XPS NIII L(50)</t>
  </si>
  <si>
    <t>XPS NIII L(60)</t>
  </si>
  <si>
    <t>XPS NIII L(70)</t>
  </si>
  <si>
    <t>XPS NIII L(80)</t>
  </si>
  <si>
    <t>XPS NIII L(100)</t>
  </si>
  <si>
    <t>XPS NIII PR(40)</t>
  </si>
  <si>
    <t>XPS NIII PR(50)</t>
  </si>
  <si>
    <t>XPS NIII PR(60)</t>
  </si>
  <si>
    <t>XPS NIII PR(80)</t>
  </si>
  <si>
    <t>XPS NV L(40)</t>
  </si>
  <si>
    <t>XPS NV L(50)</t>
  </si>
  <si>
    <t>XPS NV L(60)</t>
  </si>
  <si>
    <t>XPS NV L(80)</t>
  </si>
  <si>
    <t>XPS NV L(100)</t>
  </si>
  <si>
    <t>XPS NW E(30)</t>
  </si>
  <si>
    <t>XPS NW E(40)</t>
  </si>
  <si>
    <t>XPS NW E(50)</t>
  </si>
  <si>
    <t>XPS NW E(60)</t>
  </si>
  <si>
    <t>XPS RG (30)</t>
  </si>
  <si>
    <t>XPS RG (40)</t>
  </si>
  <si>
    <t>Panel Acustic R(45)</t>
  </si>
  <si>
    <t>Panel Acustic R(65)</t>
  </si>
  <si>
    <t>Panel Fieltro R(50)</t>
  </si>
  <si>
    <t>Panel Fieltro R(60)</t>
  </si>
  <si>
    <t>TERRA T18P(85)</t>
  </si>
  <si>
    <t>TERRA SOL T70P(20)</t>
  </si>
  <si>
    <t>TRRA Vento(40)</t>
  </si>
  <si>
    <t>TERRA Vento(50)</t>
  </si>
  <si>
    <t>TERRA Vento(60)</t>
  </si>
  <si>
    <t>TERRA Vento(80)</t>
  </si>
  <si>
    <t>TERRA Vento Plus(50)</t>
  </si>
  <si>
    <t>TERRA Vento Plus(60)</t>
  </si>
  <si>
    <t>TERRA Vento R(40)</t>
  </si>
  <si>
    <t>TERRA Vento R(50)</t>
  </si>
  <si>
    <t>TERRA Vento R(60)</t>
  </si>
  <si>
    <t>TERRA Vento R(80)</t>
  </si>
  <si>
    <t>TERRA+ T22P(30)</t>
  </si>
  <si>
    <t>TERRA+ T22P(40)</t>
  </si>
  <si>
    <t>TERRA+ T22P(50)</t>
  </si>
  <si>
    <t>TERRA M.Papel(60)</t>
  </si>
  <si>
    <t>TERRA M.Papel(80)</t>
  </si>
  <si>
    <t>Coste intervencion con aislamiento €/m2</t>
  </si>
  <si>
    <t>Coste untario 1ª Capa €/m2</t>
  </si>
  <si>
    <t>Coste untario 2ª Capa €/m2</t>
  </si>
  <si>
    <t>Coste unitario sin aislante €/m2</t>
  </si>
  <si>
    <t>Coste unitario con aislante €/m2</t>
  </si>
  <si>
    <t>Los campos rellenos en amarillo deben informarse obligatoriamente</t>
  </si>
  <si>
    <t>Trasdosados (min)</t>
  </si>
  <si>
    <t>Trasdosados (med)</t>
  </si>
  <si>
    <t>Trasdosados (max)</t>
  </si>
  <si>
    <t>ETICS (min)</t>
  </si>
  <si>
    <t>ETICS (med)</t>
  </si>
  <si>
    <t>ETICS (max)</t>
  </si>
  <si>
    <t>FV Piedra Natural (min)</t>
  </si>
  <si>
    <t>FV Piedra Natural (med)</t>
  </si>
  <si>
    <t>FV Piedra Natural (max)</t>
  </si>
  <si>
    <t>FV Ceramica (min)</t>
  </si>
  <si>
    <t>FV Ceramica (med)</t>
  </si>
  <si>
    <t>FV Ceramica (max)</t>
  </si>
  <si>
    <t>FV Acero (min)</t>
  </si>
  <si>
    <t>FV Acero (med)</t>
  </si>
  <si>
    <t>FV Acero (max)</t>
  </si>
  <si>
    <t>FV Agl. Resinas (min)</t>
  </si>
  <si>
    <t>FV Agl. Resinas (med)</t>
  </si>
  <si>
    <t>FV Composite Al. (min)</t>
  </si>
  <si>
    <t>FV Composite Al. (med)</t>
  </si>
  <si>
    <t>FV Composite Al. (max)</t>
  </si>
  <si>
    <t>FACHADAS</t>
  </si>
  <si>
    <t>CUBIERTAS</t>
  </si>
  <si>
    <t>SUELOS</t>
  </si>
  <si>
    <t>Cubierta 1</t>
  </si>
  <si>
    <t>Cubierta 2</t>
  </si>
  <si>
    <t>Cubierta 3</t>
  </si>
  <si>
    <t>Cubierta 4</t>
  </si>
  <si>
    <t>Cubierta 5</t>
  </si>
  <si>
    <t>Cubierta 6</t>
  </si>
  <si>
    <t>Cubierta 7</t>
  </si>
  <si>
    <t>Cubierta 8</t>
  </si>
  <si>
    <t>Cubierta 9</t>
  </si>
  <si>
    <t>Cubierta 10</t>
  </si>
  <si>
    <t>Suelo 1</t>
  </si>
  <si>
    <t>Suelo 2</t>
  </si>
  <si>
    <t>Suelo 3</t>
  </si>
  <si>
    <t>Suelo 4</t>
  </si>
  <si>
    <t>Suelo 5</t>
  </si>
  <si>
    <t>Suelo 6</t>
  </si>
  <si>
    <t>Suelo 7</t>
  </si>
  <si>
    <t>Suelo 8</t>
  </si>
  <si>
    <t>Suelo 9</t>
  </si>
  <si>
    <t>Suelo 10</t>
  </si>
  <si>
    <t>Fachada 1</t>
  </si>
  <si>
    <t>Fachada 2</t>
  </si>
  <si>
    <t>Fachada 3</t>
  </si>
  <si>
    <t>Fachada 4</t>
  </si>
  <si>
    <t>Fachada 5</t>
  </si>
  <si>
    <t>Fachada 6</t>
  </si>
  <si>
    <t>Fachada 7</t>
  </si>
  <si>
    <t>Fachada 8</t>
  </si>
  <si>
    <t>Fachada 9</t>
  </si>
  <si>
    <t>Fachada 10</t>
  </si>
  <si>
    <t>Piedras Naturales (min)</t>
  </si>
  <si>
    <t>Piedras Naturales (med)</t>
  </si>
  <si>
    <t>Piedras Naturales (max)</t>
  </si>
  <si>
    <t>Ceramica (min)</t>
  </si>
  <si>
    <t>Ceramica (med)</t>
  </si>
  <si>
    <t>Ceramica (max)</t>
  </si>
  <si>
    <t>Madera (min)</t>
  </si>
  <si>
    <t>Madera (med)</t>
  </si>
  <si>
    <t>Madera (max)</t>
  </si>
  <si>
    <t>Transitable (min)</t>
  </si>
  <si>
    <t>Transitable (med)</t>
  </si>
  <si>
    <t>Transitable (max)</t>
  </si>
  <si>
    <t>No transitable (min)</t>
  </si>
  <si>
    <t>No transitable (med)</t>
  </si>
  <si>
    <t>No transitable (max)</t>
  </si>
  <si>
    <t>Ajardinada (min)</t>
  </si>
  <si>
    <t>Ajardinada (med)</t>
  </si>
  <si>
    <t>Ajardinada (max)</t>
  </si>
  <si>
    <t>Falso Techo (min)</t>
  </si>
  <si>
    <t>Falso Techo (med)</t>
  </si>
  <si>
    <t>Falso Techo (max)</t>
  </si>
  <si>
    <t>FACHADAS O SUELOS</t>
  </si>
  <si>
    <t>Fach o Suelo 1</t>
  </si>
  <si>
    <t>Fach o Suelo 2</t>
  </si>
  <si>
    <t>Fach o Suelo 3</t>
  </si>
  <si>
    <t>Fach o Suelo 4</t>
  </si>
  <si>
    <t>Fach o Suelo 5</t>
  </si>
  <si>
    <t>Fach o Suelo 6</t>
  </si>
  <si>
    <t>Fach o Suelo 7</t>
  </si>
  <si>
    <t>Fach o Suelo 8</t>
  </si>
  <si>
    <t>Fach o Suelo 9</t>
  </si>
  <si>
    <t>Fach o Suelo 10</t>
  </si>
  <si>
    <t>FV Agl. Resinas (max)</t>
  </si>
  <si>
    <t>2 vidrio (min)</t>
  </si>
  <si>
    <t>2 vidrio (med)</t>
  </si>
  <si>
    <t>2 vidrio (max)</t>
  </si>
  <si>
    <t>2 vidrio BE (min)</t>
  </si>
  <si>
    <t>2 vidrio BE (med)</t>
  </si>
  <si>
    <t>2 vidrio BE (max)</t>
  </si>
  <si>
    <t>3 vidrio (min)</t>
  </si>
  <si>
    <t>3 vidrio (med)</t>
  </si>
  <si>
    <t>3 vidrio (max)</t>
  </si>
  <si>
    <t>3 vidrio BE (min)</t>
  </si>
  <si>
    <t>3 vidrio BE (med)</t>
  </si>
  <si>
    <t>3 vidrio BE (max)</t>
  </si>
  <si>
    <t>Ventana 1</t>
  </si>
  <si>
    <t>Ventana 2</t>
  </si>
  <si>
    <t>Ventana 3</t>
  </si>
  <si>
    <t>Ventana 4</t>
  </si>
  <si>
    <t>Ventana 5</t>
  </si>
  <si>
    <t>Ventana 6</t>
  </si>
  <si>
    <t>Ventana 7</t>
  </si>
  <si>
    <t>Ventana 8</t>
  </si>
  <si>
    <t>Ventana 9</t>
  </si>
  <si>
    <t>HUECOS</t>
  </si>
  <si>
    <t>Milan</t>
  </si>
  <si>
    <t>It</t>
  </si>
  <si>
    <t xml:space="preserve">Ejemplo Edifico Plurifamiliar Tipo 6 orientacion E-O para URSA Iberica SA </t>
  </si>
  <si>
    <t>Building name/reference</t>
  </si>
  <si>
    <t>Site</t>
  </si>
  <si>
    <t>Internal surface (m2)</t>
  </si>
  <si>
    <t>Internal Volume (m3)</t>
  </si>
  <si>
    <t>Air infiltration and Ventilation (n)</t>
  </si>
  <si>
    <t>Heat recovery efficiency (0 a 1)</t>
  </si>
  <si>
    <t>Internal gains (Wh/m2)</t>
  </si>
  <si>
    <t>Gross Area (m2)</t>
  </si>
  <si>
    <t>Window percentage (0 a 1)</t>
  </si>
  <si>
    <t>Initial case</t>
  </si>
  <si>
    <t>Opaque walls insulation</t>
  </si>
  <si>
    <t>Glass and frame windows</t>
  </si>
  <si>
    <t>Solar protection in summer</t>
  </si>
  <si>
    <t>Thermal bridges correction factor</t>
  </si>
  <si>
    <t>Final case</t>
  </si>
  <si>
    <t>1st Layer Insulation</t>
  </si>
  <si>
    <t>2nd layer insulation</t>
  </si>
  <si>
    <t>Type of work (only for costs)</t>
  </si>
  <si>
    <t>Type of windows (only for costs)</t>
  </si>
  <si>
    <t>External Walls</t>
  </si>
  <si>
    <t>East</t>
  </si>
  <si>
    <t>North/NEast/Nwest</t>
  </si>
  <si>
    <t>West</t>
  </si>
  <si>
    <t>Heating Energy Demand kWh/m2/year</t>
  </si>
  <si>
    <t>Cooling Energy demand kWh/m2/year</t>
  </si>
  <si>
    <t>Total Energy demand kWh/m2/year</t>
  </si>
  <si>
    <t>Heating savings %</t>
  </si>
  <si>
    <t>Cooling Savings%</t>
  </si>
  <si>
    <t>Total savings %</t>
  </si>
  <si>
    <t>Roof</t>
  </si>
  <si>
    <t>Ground Floor</t>
  </si>
  <si>
    <t>Walls without solar radiation ( floors, non exposed to sun walls…)</t>
  </si>
  <si>
    <t>Non External walls</t>
  </si>
  <si>
    <t>wall 1</t>
  </si>
  <si>
    <t>Identification</t>
  </si>
  <si>
    <t>ENERGY SYSTEMS IN BOTH INITIAL AND FINAL CASES</t>
  </si>
  <si>
    <t>Energy cost €/kWh</t>
  </si>
  <si>
    <t>Climatic zone</t>
  </si>
  <si>
    <t>Type of generation</t>
  </si>
  <si>
    <t>Temp.Distribution</t>
  </si>
  <si>
    <t>Type of combustible</t>
  </si>
  <si>
    <t>HOT WATER</t>
  </si>
  <si>
    <t>Energy Demand
(kWh/m2)</t>
  </si>
  <si>
    <t>Final Energy
(kWh/m2)</t>
  </si>
  <si>
    <t>Primary Energy
(kWh/m2)</t>
  </si>
  <si>
    <t>CO2 Emissions
(gr/m2)</t>
  </si>
  <si>
    <t>LIGHTING</t>
  </si>
  <si>
    <t>ONLY FOR SPAIN</t>
  </si>
  <si>
    <t>COSTS ESTIMATION</t>
  </si>
  <si>
    <t>South</t>
  </si>
  <si>
    <t>SouthWest</t>
  </si>
  <si>
    <t>Opaque walls (€)</t>
  </si>
  <si>
    <t>Windows (€)</t>
  </si>
  <si>
    <t>Simple recovery time</t>
  </si>
  <si>
    <t>years</t>
  </si>
  <si>
    <t>Total monthly cost</t>
  </si>
  <si>
    <t>Monthly method</t>
  </si>
  <si>
    <t>Simplified input data adapted to refurbishment</t>
  </si>
  <si>
    <t>ENERGY CALCULATION ACCORDING EN 13790</t>
  </si>
  <si>
    <t>wall 2</t>
  </si>
  <si>
    <t>wall 3</t>
  </si>
  <si>
    <t>wall 4</t>
  </si>
  <si>
    <t>Nominal Efficiency</t>
  </si>
  <si>
    <t xml:space="preserve"> ENERGETIC ESTIMATION IN INITIAL SITUATION</t>
  </si>
  <si>
    <t>ENERCETIC ESTIMATION IN FINAL CASE</t>
  </si>
  <si>
    <t>€/m2/month</t>
  </si>
  <si>
    <t>€/month</t>
  </si>
  <si>
    <t>Financing time</t>
  </si>
  <si>
    <t>Summer night ventilation (n)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</si>
  <si>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</si>
  <si>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</si>
  <si>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</si>
  <si>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</si>
  <si>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</si>
  <si>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</si>
  <si>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</si>
  <si>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</si>
  <si>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</si>
  <si>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</si>
  <si>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February</t>
  </si>
  <si>
    <t>December</t>
  </si>
  <si>
    <t>HEATING (Final)</t>
  </si>
  <si>
    <t>COOLING (Final)</t>
  </si>
  <si>
    <t>HP geothermal horitzontal interchanger single family house</t>
  </si>
  <si>
    <t>Solar Covered%(0-100)</t>
  </si>
  <si>
    <t>Very low (n=0,2)</t>
  </si>
  <si>
    <t>Low (n=0,5)</t>
  </si>
  <si>
    <t>None (n=0)</t>
  </si>
  <si>
    <t>Low (n=1)</t>
  </si>
  <si>
    <t>Residential: Low Gains (2W/m2)</t>
  </si>
  <si>
    <t>Residential: Medium gains (3W/m2)</t>
  </si>
  <si>
    <t>Other cases (5W/m2)</t>
  </si>
  <si>
    <t>Very low (100 kg/m2)</t>
  </si>
  <si>
    <t>Low (200 kg/m2)</t>
  </si>
  <si>
    <t>Medium (300 kg/m2)</t>
  </si>
  <si>
    <t>Very Higt (f=1,7)</t>
  </si>
  <si>
    <t>No Impact (f=1)</t>
  </si>
  <si>
    <t>Very low (f=1,05)</t>
  </si>
  <si>
    <t>Low (f=1,10)</t>
  </si>
  <si>
    <t>Medium (f=1,3)</t>
  </si>
  <si>
    <t>Similar external (b=1)</t>
  </si>
  <si>
    <t>Very exposed (ej.: Parking) (b=0,8)</t>
  </si>
  <si>
    <t>Medium exposed (ej.: stairs) (b=0,5)</t>
  </si>
  <si>
    <t>Rinsu=0,7 (25mm/l035)</t>
  </si>
  <si>
    <t>Rinsu=1 (35mm/l035)</t>
  </si>
  <si>
    <t>Rinsu=1,55 (55mm/l035)</t>
  </si>
  <si>
    <t>Rinsu=2 (70mm/l035)</t>
  </si>
  <si>
    <t>Rinsu=2,55 (90mm/l035)</t>
  </si>
  <si>
    <t>Rinsu=3 (105mm/l035)</t>
  </si>
  <si>
    <t>Rinsu=4 (140mm/l035)</t>
  </si>
  <si>
    <t>Rinsu=5 (175mm/l035)</t>
  </si>
  <si>
    <t>Rinsu=6 (210mm/l035)</t>
  </si>
  <si>
    <t>Rinsu=7 (245 mm/l035)</t>
  </si>
  <si>
    <t>Rinsu=8 (280 mm/l035)</t>
  </si>
  <si>
    <t>Rinsu=9 (315 mm/l035)</t>
  </si>
  <si>
    <t>Rinsu=10 (3500 mm/l035)</t>
  </si>
  <si>
    <t>1  Glass + Frame PVC</t>
  </si>
  <si>
    <t>2  Glass + Frame PVC</t>
  </si>
  <si>
    <t>2  Glass LE + Frame PVC</t>
  </si>
  <si>
    <t>3  Glass + Frame PVC</t>
  </si>
  <si>
    <t>3  Glass LE + Frame PVC</t>
  </si>
  <si>
    <t>3  Glass LE + Frame PassivHaus</t>
  </si>
  <si>
    <t>1  Glass + Frame Wood</t>
  </si>
  <si>
    <t>2  Glass + Frame Wood</t>
  </si>
  <si>
    <t>2  Glass LE + Frame Wood</t>
  </si>
  <si>
    <t>3  Glass + Frame Wood</t>
  </si>
  <si>
    <t>3  Glass LE + Frame Wood</t>
  </si>
  <si>
    <t>1  Glass + Frame Alumin</t>
  </si>
  <si>
    <t>2  Glass + Frame Alumin</t>
  </si>
  <si>
    <t>2  Glass LE + Frame Alumin</t>
  </si>
  <si>
    <t>3  Glass + Frame Alumin</t>
  </si>
  <si>
    <t>3  Glass LE + Frame Alumin</t>
  </si>
  <si>
    <t>Without (f=1)</t>
  </si>
  <si>
    <t>Without</t>
  </si>
  <si>
    <t>Efficiency standard</t>
  </si>
  <si>
    <t>High (n=1)</t>
  </si>
  <si>
    <t>Very high (n=1,5)</t>
  </si>
  <si>
    <t>Very high (n=5)</t>
  </si>
  <si>
    <t>Residential: High gains(4W/m2)</t>
  </si>
  <si>
    <t>High (400 kg/m2)</t>
  </si>
  <si>
    <t>High (f=1,5)</t>
  </si>
  <si>
    <t>Low exposed (ej.: other habitable spaces) (b=0,20)</t>
  </si>
  <si>
    <t>Not exposed (b=0)</t>
  </si>
  <si>
    <t>High (f=0,5)</t>
  </si>
  <si>
    <t>Very High (f=0,3)</t>
  </si>
  <si>
    <t>High efficiency</t>
  </si>
  <si>
    <t>Heating kWh/m2</t>
  </si>
  <si>
    <t>Cooling kWh/m2</t>
  </si>
  <si>
    <t>Heat losses (windows)</t>
  </si>
  <si>
    <t>Solar Gains</t>
  </si>
  <si>
    <t>Calefacción kWh</t>
  </si>
  <si>
    <t>Refrigeración kWh</t>
  </si>
  <si>
    <t>Verificacion</t>
  </si>
  <si>
    <t>Gananacias Suelo</t>
  </si>
  <si>
    <t>Total kWh/m2</t>
  </si>
  <si>
    <t>Total kWh</t>
  </si>
  <si>
    <t>TOTAL kWh</t>
  </si>
  <si>
    <t>Trans.Loss opaque SUR</t>
  </si>
  <si>
    <t>Trans.Loss opaque SURESTE</t>
  </si>
  <si>
    <t>Trans.Loss opaque ESTE</t>
  </si>
  <si>
    <t>Trans.Loss opaque NORTE/NE / NO</t>
  </si>
  <si>
    <t>Trans.Loss opaque OESTE</t>
  </si>
  <si>
    <t>Trans.Loss opaque SUROESTE</t>
  </si>
  <si>
    <t>Trans.Loss opaque CUBIERTAS</t>
  </si>
  <si>
    <t>Trans.Loss opaque EXTERIOR NO SOLEADO</t>
  </si>
  <si>
    <t>Trans.Loss SUELO</t>
  </si>
  <si>
    <t>Trans.Loss Suleo</t>
  </si>
  <si>
    <t>Trans.Loss windows SUR</t>
  </si>
  <si>
    <t>Trans.Loss windows SURESTE</t>
  </si>
  <si>
    <t>Trans.Loss windows ESTE</t>
  </si>
  <si>
    <t>Trans.Loss windows NORTE/ NE / NO</t>
  </si>
  <si>
    <t>Trans.Loss windows OESTE</t>
  </si>
  <si>
    <t>Trans.Loss windows SUROESTE</t>
  </si>
  <si>
    <t>Trans.Loss windows CUBIERTA</t>
  </si>
  <si>
    <t>Trans.Loss windows EXTERIOR NO SOLEADO</t>
  </si>
  <si>
    <t>Trans.Gains opaque SUR</t>
  </si>
  <si>
    <t>Trans.Gains opaque SURESTE</t>
  </si>
  <si>
    <t>Trans.Gains opaque ESTE</t>
  </si>
  <si>
    <t>Trans.Gains opaque NORTE/NE / NO</t>
  </si>
  <si>
    <t>Trans.Gains opaque OESTE</t>
  </si>
  <si>
    <t>Trans.Gains opaque SUROESTE</t>
  </si>
  <si>
    <t>Trans.Gains opaque CUBIERTAS</t>
  </si>
  <si>
    <t>Trans.Gains opaque EXTERIOR NO SOLEADO</t>
  </si>
  <si>
    <t>Trans.Gains SUELO</t>
  </si>
  <si>
    <t>Trans.Gains windows SUR</t>
  </si>
  <si>
    <t>Trans.Gains windows SURESTE</t>
  </si>
  <si>
    <t>Trans.Gains windows ESTE</t>
  </si>
  <si>
    <t>Trans.Gains windows NORTE/ NE / NO</t>
  </si>
  <si>
    <t>Trans.Gains windows OESTE</t>
  </si>
  <si>
    <t>Trans.Gains windows SUROESTE</t>
  </si>
  <si>
    <t>Trans.Gains windows CUBIERTA</t>
  </si>
  <si>
    <t>Trans.Gains windows EXTERIOR NO SOLEADO</t>
  </si>
  <si>
    <t>Transmission opaque elements heating (kWh)</t>
  </si>
  <si>
    <t>Transmission opaque elements cooling (kWh)</t>
  </si>
  <si>
    <t>Transmission windows heating (kWh)</t>
  </si>
  <si>
    <t>Transmission windows Cooling (kWh)</t>
  </si>
  <si>
    <t xml:space="preserve"> (windows)</t>
  </si>
  <si>
    <t xml:space="preserve"> (opaque)</t>
  </si>
  <si>
    <t>Ground</t>
  </si>
  <si>
    <t>Windows SOUTH</t>
  </si>
  <si>
    <t>Windows SOUTH EAST</t>
  </si>
  <si>
    <t>Windows EAST</t>
  </si>
  <si>
    <t>Windows NORTH / NE / NW</t>
  </si>
  <si>
    <t>Windows WEST</t>
  </si>
  <si>
    <t>Windows SOUTHWEST</t>
  </si>
  <si>
    <t>Windows ROOF</t>
  </si>
  <si>
    <t>Windows WALLS WITHOUT SOLAR RADIATION</t>
  </si>
  <si>
    <t>Walls SOUTH</t>
  </si>
  <si>
    <t>Walls SOUTH EAST</t>
  </si>
  <si>
    <t>Walls EAST</t>
  </si>
  <si>
    <t>Walls NORTH / NE / NW</t>
  </si>
  <si>
    <t>Walls WEST</t>
  </si>
  <si>
    <t>Walls SOUTHWEST</t>
  </si>
  <si>
    <t>Walls WITHOUT SOLAR RADIATION</t>
  </si>
  <si>
    <t>Infiltration+Ventilation</t>
  </si>
  <si>
    <t>Losses Initial case</t>
  </si>
  <si>
    <t>Loses Final Case</t>
  </si>
  <si>
    <t>Gains Initial case</t>
  </si>
  <si>
    <t>Gains Final case</t>
  </si>
  <si>
    <t>Losses Final case</t>
  </si>
  <si>
    <t>Walls</t>
  </si>
  <si>
    <t>Windows</t>
  </si>
  <si>
    <t>LOCATION_NADI_-_FJI_IWEC Data_916800</t>
  </si>
  <si>
    <t>Español</t>
  </si>
  <si>
    <t>English</t>
  </si>
  <si>
    <t>Français</t>
  </si>
  <si>
    <t>CALCULS ENERGETIQUES SELON EN 13790</t>
  </si>
  <si>
    <t>CÁLCULOS ENERGÉTICOS SEGÚN EN 13790</t>
  </si>
  <si>
    <t>Método mensual</t>
  </si>
  <si>
    <t>Entrada de datos simplificada adaptada a la rehabilitación</t>
  </si>
  <si>
    <t>Méthode mensuelle</t>
  </si>
  <si>
    <t>Entrée de donnes simplifiée adaptée a la rénovation</t>
  </si>
  <si>
    <t>Apports internes (Wh/m2)</t>
  </si>
  <si>
    <t>Nombre o referencia edifico</t>
  </si>
  <si>
    <t>Superficie interior (m2)</t>
  </si>
  <si>
    <t>Volumen Interior (m3)</t>
  </si>
  <si>
    <t>Eficiencia recuperador de calor (0 a 1)</t>
  </si>
  <si>
    <t>Appellation / référence bâtiment</t>
  </si>
  <si>
    <t>Surface Intérieure (m2)</t>
  </si>
  <si>
    <t>Volume intérieur ( m3)</t>
  </si>
  <si>
    <t>Infiltration et ventilation d'air (n)</t>
  </si>
  <si>
    <t>Ventilation nocturne été (n)</t>
  </si>
  <si>
    <t>Economies de chauffage %</t>
  </si>
  <si>
    <t>Economies de refroidissement %</t>
  </si>
  <si>
    <t>Ahorro de calefacción %</t>
  </si>
  <si>
    <t>Ahorro de refrigeración %</t>
  </si>
  <si>
    <t>Tasa Infiltración y ventilación (n)</t>
  </si>
  <si>
    <t>Ganancias interiores (Wh/m2)</t>
  </si>
  <si>
    <t>Demanda de energía total kWh/m2/año</t>
  </si>
  <si>
    <t>Ahorro de energía total %</t>
  </si>
  <si>
    <t>Besoins totales d'énergie kWh/m2/annualité</t>
  </si>
  <si>
    <t>Economies d'énergie totale %</t>
  </si>
  <si>
    <t>Seleccionado</t>
  </si>
  <si>
    <t>Besoins chauffage kWh/m2/annualité</t>
  </si>
  <si>
    <t>Besoins refroidissement kWh/m2/annualité</t>
  </si>
  <si>
    <t>Demanda calefacción kWh/m2/año</t>
  </si>
  <si>
    <t>Demanda refrigeración kWh/m2/año</t>
  </si>
  <si>
    <t>Efficience récupérateur chaleur (0 a 1)</t>
  </si>
  <si>
    <t>Situation Finale</t>
  </si>
  <si>
    <t>Caso Final</t>
  </si>
  <si>
    <t>Caso Inicial</t>
  </si>
  <si>
    <t>Situation Initiale</t>
  </si>
  <si>
    <t>Paredes Exteriores</t>
  </si>
  <si>
    <t>Sud</t>
  </si>
  <si>
    <t>Est</t>
  </si>
  <si>
    <t>Ouest</t>
  </si>
  <si>
    <t>Sud Ouest</t>
  </si>
  <si>
    <t>South-East</t>
  </si>
  <si>
    <t>Sud Est</t>
  </si>
  <si>
    <t>Sur</t>
  </si>
  <si>
    <t>Este</t>
  </si>
  <si>
    <t>Oeste</t>
  </si>
  <si>
    <t>Norte/NEste / NOeste</t>
  </si>
  <si>
    <t>Nord/NEst/NOuest</t>
  </si>
  <si>
    <t>Porcentaje de huecos (0 a 1)</t>
  </si>
  <si>
    <t>Surface totale (m2)</t>
  </si>
  <si>
    <t>Aislamiento parte opaca paredes</t>
  </si>
  <si>
    <t>Factor corrector puentes térmicos</t>
  </si>
  <si>
    <t>Isolation partie opaque parois</t>
  </si>
  <si>
    <t>Ouvertures et menuiseries</t>
  </si>
  <si>
    <t>Facteur de correction ponts thermiques</t>
  </si>
  <si>
    <t>Parois Extérieures</t>
  </si>
  <si>
    <t>Pourcentage d'ouvertures (0-1)</t>
  </si>
  <si>
    <t>Protection solaire été</t>
  </si>
  <si>
    <t>Sur Este</t>
  </si>
  <si>
    <t>Sur Oeste</t>
  </si>
  <si>
    <t>Área total (m2)</t>
  </si>
  <si>
    <t>Huecos y carpintería</t>
  </si>
  <si>
    <t>1ere couche isolation</t>
  </si>
  <si>
    <t>2eme couche isolation</t>
  </si>
  <si>
    <t>1ª capa aislamiento</t>
  </si>
  <si>
    <t>2ª capa aislamiento</t>
  </si>
  <si>
    <t>Tipo de hueco (solo para costes)</t>
  </si>
  <si>
    <t>Tipo de intervención (solo para costes)</t>
  </si>
  <si>
    <t>Type intervention (seulement pour couts)</t>
  </si>
  <si>
    <t>Type d'ouverture (seulement pour couts)</t>
  </si>
  <si>
    <t>Identificación</t>
  </si>
  <si>
    <t>Toiture</t>
  </si>
  <si>
    <t>Plancher bas</t>
  </si>
  <si>
    <t>Parois sans exposition solaire (sols, sans exposition solaire)</t>
  </si>
  <si>
    <t>Solera</t>
  </si>
  <si>
    <t>Paredes sin radiación solar ( suelos, sin exposición solar)</t>
  </si>
  <si>
    <t>Paredes no expuestas al exterior</t>
  </si>
  <si>
    <t>Parois non exposées a l'extérieur</t>
  </si>
  <si>
    <t>Cout de l'Energie €/kWh</t>
  </si>
  <si>
    <t>Zone Climatique</t>
  </si>
  <si>
    <t>Type de distribution</t>
  </si>
  <si>
    <t>Type de combustible</t>
  </si>
  <si>
    <t>Tipo de distribución</t>
  </si>
  <si>
    <t>Eficiencia nominal</t>
  </si>
  <si>
    <t>Tipo de generador</t>
  </si>
  <si>
    <t>Coste energía €/kWh</t>
  </si>
  <si>
    <t>Zona Climática</t>
  </si>
  <si>
    <t>Tipo de combustible</t>
  </si>
  <si>
    <t>Type de générateur</t>
  </si>
  <si>
    <t>Efficience nominale</t>
  </si>
  <si>
    <t>Couverture solaire (0-100)</t>
  </si>
  <si>
    <t>Cobertura solar (0-100)</t>
  </si>
  <si>
    <t>CHAUFFAGE</t>
  </si>
  <si>
    <t>EAU CHAUDE</t>
  </si>
  <si>
    <t>AGUA CALIENTE</t>
  </si>
  <si>
    <t>SISTEMAS TÉRMICOS EN LA SITUACIÓN INICIAL Y FINAL</t>
  </si>
  <si>
    <t>CALEFACCIÓN</t>
  </si>
  <si>
    <t>REFRIGERACIÓN</t>
  </si>
  <si>
    <t>SYSTEMES ENERGETIQUES DANS LA SITUATION INITIALE ET FINALE</t>
  </si>
  <si>
    <t>REFROIDISSEMENT</t>
  </si>
  <si>
    <t>Refroidissement (oui / non?)</t>
  </si>
  <si>
    <t>Cooling (yes / not?)</t>
  </si>
  <si>
    <t>Refrigeración (si / no?)</t>
  </si>
  <si>
    <t>ESTIMATION ENERGIE SITUATION INITIALE</t>
  </si>
  <si>
    <t>ESTIMATION ENERGIE SITUATION FINALE</t>
  </si>
  <si>
    <t>ECLAIRAGE</t>
  </si>
  <si>
    <t>ESTIMACIÓN SITUACIÓN ENERGÉTICA INICIAL</t>
  </si>
  <si>
    <t>ESTIMACIÓN SITUACIÓN ENERGÉTICA FINAL</t>
  </si>
  <si>
    <t>ILUMINACIÓN</t>
  </si>
  <si>
    <t>Emisiones CO2 (gr/m2)</t>
  </si>
  <si>
    <t>Coste operación (€/m2)</t>
  </si>
  <si>
    <t>Operational Costs (€/m2)</t>
  </si>
  <si>
    <t>Energie Finale (kWh/m2)</t>
  </si>
  <si>
    <t>Energie Primaire ( kWh/m2)</t>
  </si>
  <si>
    <t>Emissions de CO2 (g/m2)</t>
  </si>
  <si>
    <t>Demanda energética (kWh/m2)</t>
  </si>
  <si>
    <t>Energía Primaria (kWh/m2)</t>
  </si>
  <si>
    <t>Energía Final (kWh/m2)</t>
  </si>
  <si>
    <t>Besoins d'énergie (kWh/m2)</t>
  </si>
  <si>
    <t>Couts Opérationnels (€/m2)</t>
  </si>
  <si>
    <t>Parois opaques (€)</t>
  </si>
  <si>
    <t>Ouvertures (€)</t>
  </si>
  <si>
    <t>Relative cost per m2 (internal surface)</t>
  </si>
  <si>
    <t>Temps de finantiation</t>
  </si>
  <si>
    <t>Cout total par mois</t>
  </si>
  <si>
    <t>Paredes opacas (€)</t>
  </si>
  <si>
    <t>Huecos (€)</t>
  </si>
  <si>
    <t>Costes relativos por m2 (superficie interior)</t>
  </si>
  <si>
    <t>Coste total mensual</t>
  </si>
  <si>
    <t>ESTIMATION DES COUTS</t>
  </si>
  <si>
    <t>Couts par m2 (surface intérieure)</t>
  </si>
  <si>
    <t>Temps de récupération simple</t>
  </si>
  <si>
    <t>ESTIMACIÓN COSTES</t>
  </si>
  <si>
    <t>Tiempo de recuperación simple</t>
  </si>
  <si>
    <t>Tiempo de financiación</t>
  </si>
  <si>
    <t>Muy baja (n=0,2)</t>
  </si>
  <si>
    <t>Baja (n=0,5)</t>
  </si>
  <si>
    <t>Alta (n=1)</t>
  </si>
  <si>
    <t>Muy Alta (n=1,5)</t>
  </si>
  <si>
    <t>Faible (n=0,5)</t>
  </si>
  <si>
    <t>Haute (n=1)</t>
  </si>
  <si>
    <t>Sin (n=0)</t>
  </si>
  <si>
    <t>Muy alta (n=5)</t>
  </si>
  <si>
    <t>Sans (n=0)</t>
  </si>
  <si>
    <t>Faible (n=1)</t>
  </si>
  <si>
    <t>Très haute (n=1,5)</t>
  </si>
  <si>
    <t>Residencial: Ganancias bajas (2W/m2)</t>
  </si>
  <si>
    <t>Residencial: Ganancias elevadas (4W/m2)</t>
  </si>
  <si>
    <t>Otros casos (5W/m2)</t>
  </si>
  <si>
    <t>Autres cas (5W/m2)</t>
  </si>
  <si>
    <t>Baja (n=1)</t>
  </si>
  <si>
    <t>Residencial: ganancias Medias (3W/m2)</t>
  </si>
  <si>
    <t>Habituel (n=0,75)</t>
  </si>
  <si>
    <t>Habituel (n=3)</t>
  </si>
  <si>
    <t>Très élevé (n=5)</t>
  </si>
  <si>
    <t>Résidentiel: Gains faibles (2W/m2)</t>
  </si>
  <si>
    <t>Résidentiel: Gains moyens (3W/m2)</t>
  </si>
  <si>
    <t>Résidentiel: Gains élevés (4W/m2)</t>
  </si>
  <si>
    <t>Muy baja (100 kg/m2)</t>
  </si>
  <si>
    <t>Baja (200 kg/m2)</t>
  </si>
  <si>
    <t>Media (300 kg/m2)</t>
  </si>
  <si>
    <t>Alta (400 kg/m2)</t>
  </si>
  <si>
    <t>Très faible (100 kg/m2)</t>
  </si>
  <si>
    <t>Faible (200 kg/m2)</t>
  </si>
  <si>
    <t>Moyenne (300 kg/m2)</t>
  </si>
  <si>
    <t>Elevé (400 kg/m2)</t>
  </si>
  <si>
    <t>Muy bajo (f=1,05)</t>
  </si>
  <si>
    <t>Bajo (f=1,10)</t>
  </si>
  <si>
    <t>Medio (f=1,3)</t>
  </si>
  <si>
    <t>Alto (f=1,5)</t>
  </si>
  <si>
    <t>Muy alto (f=1,7)</t>
  </si>
  <si>
    <t>Sans Impact (f=1)</t>
  </si>
  <si>
    <t>Très faible (f=1,05)</t>
  </si>
  <si>
    <t>Faible (f=1,10)</t>
  </si>
  <si>
    <t>Moyen (f=1,3)</t>
  </si>
  <si>
    <t>Elevé (f=1,5)</t>
  </si>
  <si>
    <t>Très faible (n=0,2)</t>
  </si>
  <si>
    <t>Très élevé (f=1,7)</t>
  </si>
  <si>
    <t>Sin impacto (f=1)</t>
  </si>
  <si>
    <t>Similar a exterior (b=1)</t>
  </si>
  <si>
    <t>Poco expuesto (ej.: Parking) (b=0,8)</t>
  </si>
  <si>
    <t>No expuesto (b=0)</t>
  </si>
  <si>
    <t>Très exposé (ej.: Parking) (b=0,8)</t>
  </si>
  <si>
    <t>Exposition moyenne (ej.: escaliers) (b=0,5)</t>
  </si>
  <si>
    <t>Non exposée (b=0)</t>
  </si>
  <si>
    <t>Sin aislamiento  (Rais=0)</t>
  </si>
  <si>
    <t>Muy bajo  (Rais=0,7)</t>
  </si>
  <si>
    <t>Bajo  (Rais=1,5)</t>
  </si>
  <si>
    <t>Aceptable (Rais=4)</t>
  </si>
  <si>
    <t>Bueno  (Rais=6)</t>
  </si>
  <si>
    <t>Muy bueno  (Rais=8)</t>
  </si>
  <si>
    <t>Very low  (Rins=0,7)</t>
  </si>
  <si>
    <t>Low  (Rins=1,5)</t>
  </si>
  <si>
    <t>Regular (Rins=2,5)</t>
  </si>
  <si>
    <t>Acceptable (Rins=4)</t>
  </si>
  <si>
    <t>Good  (Rins=6)</t>
  </si>
  <si>
    <t>Very good  (Rins=8)</t>
  </si>
  <si>
    <t>PassivHauss (Rins=10)</t>
  </si>
  <si>
    <t>No insulation  (Rins=0)</t>
  </si>
  <si>
    <t>Très faible  (Risol=0,7)</t>
  </si>
  <si>
    <t>Faible  (Risol=1,5)</t>
  </si>
  <si>
    <t>Regular (Risol=2,5)</t>
  </si>
  <si>
    <t>Acceptable (Risol=4)</t>
  </si>
  <si>
    <t>Bonne  (Risol=6)</t>
  </si>
  <si>
    <t>Très bonne  (Risol=8)</t>
  </si>
  <si>
    <t>PassivHauss (Risol=10)</t>
  </si>
  <si>
    <t>Sans Isolation  (Risol=0)</t>
  </si>
  <si>
    <t>1  Vidrio + Carp. PVC</t>
  </si>
  <si>
    <t>2  Vidrio + Carp. PVC</t>
  </si>
  <si>
    <t>2  Vidrio BE + Carp. PVC</t>
  </si>
  <si>
    <t>3  Vidrio + Carp. PVC</t>
  </si>
  <si>
    <t>3  Vidrio BE + Carp. PVC</t>
  </si>
  <si>
    <t>3  Vidrio BE + Carp. PassivHaus</t>
  </si>
  <si>
    <t>2  Vidrio + Carp. Madera</t>
  </si>
  <si>
    <t>2  Vidrio BE + Carp. Madera</t>
  </si>
  <si>
    <t>3  Vidrio + Carp. Madera</t>
  </si>
  <si>
    <t>3  Vidrio BE + Carp. Madera</t>
  </si>
  <si>
    <t>1  Vidrio + Carp. Madera</t>
  </si>
  <si>
    <t>1  Vidrio + Carp. Alu.</t>
  </si>
  <si>
    <t>2  Vidrio + Carp. Alu.</t>
  </si>
  <si>
    <t>2  Vidrio BE + Carp. Alu.</t>
  </si>
  <si>
    <t>3  Vidrio + Carp. Alu.</t>
  </si>
  <si>
    <t>3  Vidrio BE + Carp. Alu.</t>
  </si>
  <si>
    <t>1  Verre + Menui. Alu.</t>
  </si>
  <si>
    <t>1  Verre + Menui. PVC</t>
  </si>
  <si>
    <t>2  Verre + Menui. Wood</t>
  </si>
  <si>
    <t>2  Verre + Menui. Alu.</t>
  </si>
  <si>
    <t>2  Verre + Menui. PVC</t>
  </si>
  <si>
    <t>3  Verre + Menui. Wood</t>
  </si>
  <si>
    <t>3  Verre + Menui. Alu.</t>
  </si>
  <si>
    <t>3  Verre + Menui. PVC</t>
  </si>
  <si>
    <t>1  Verre + Menui. Wood</t>
  </si>
  <si>
    <t>2  Verre FE + Menui. Wood</t>
  </si>
  <si>
    <t>2  Verre FE + Menui. Alu.</t>
  </si>
  <si>
    <t>2  Verre FE + Menui. PVC</t>
  </si>
  <si>
    <t>3  Verre FE + Menui. Wood</t>
  </si>
  <si>
    <t>3  Verre FE + Menui. Alu.</t>
  </si>
  <si>
    <t>3  Verre FE + Menui. PVC</t>
  </si>
  <si>
    <t>3  Verre FE + Menui. PassivHaus</t>
  </si>
  <si>
    <t>Alta (f=0,5)</t>
  </si>
  <si>
    <t>Muy Alta (f=0,3)</t>
  </si>
  <si>
    <t>Sans (f=1)</t>
  </si>
  <si>
    <t>Habituel (f=0,7)</t>
  </si>
  <si>
    <t>Elevé (f=0,5)</t>
  </si>
  <si>
    <t>Sin (f=1)</t>
  </si>
  <si>
    <t>Sin</t>
  </si>
  <si>
    <t>Eficacia standadrd</t>
  </si>
  <si>
    <t>Eficacia elevada</t>
  </si>
  <si>
    <t>Sans</t>
  </si>
  <si>
    <t>Exposición media (ej.: escaleras) (b=0,5)</t>
  </si>
  <si>
    <t>Exposición baja (ej.: otros espacios habitables) (b=0,20)</t>
  </si>
  <si>
    <t>Similaire a l'extérieur (b=1)</t>
  </si>
  <si>
    <t>Exposition faible (ej.: Autres espaces habitables) (b=0,20)</t>
  </si>
  <si>
    <t>Très élevé (f=0,3)</t>
  </si>
  <si>
    <t>Efficacité habituelle</t>
  </si>
  <si>
    <t>Haute efficacité</t>
  </si>
  <si>
    <t>Heat losses (Window)</t>
  </si>
  <si>
    <t>Heat losses (ground)</t>
  </si>
  <si>
    <t>Heat losses (ventilation)</t>
  </si>
  <si>
    <t>Solar gains</t>
  </si>
  <si>
    <t>Heat Gains (windows)</t>
  </si>
  <si>
    <t>Heat gains (opaque)</t>
  </si>
  <si>
    <t>Heat Gains ground</t>
  </si>
  <si>
    <t>Ganancias Internas</t>
  </si>
  <si>
    <t>Heat gains Ventilation</t>
  </si>
  <si>
    <t>Internal gains</t>
  </si>
  <si>
    <t>Gains (fenetres)</t>
  </si>
  <si>
    <t>Gains (opaques)</t>
  </si>
  <si>
    <t>Gains plancher bas</t>
  </si>
  <si>
    <t>Gains ventilation</t>
  </si>
  <si>
    <t>Heat losses (opaque)</t>
  </si>
  <si>
    <t>Déperditions (fenêtres)</t>
  </si>
  <si>
    <t>Déperditions (opaques)</t>
  </si>
  <si>
    <t>Déperditions plancher bas</t>
  </si>
  <si>
    <t>Déperditions ventilation</t>
  </si>
  <si>
    <t>Suelo</t>
  </si>
  <si>
    <t>Ganancias solares</t>
  </si>
  <si>
    <t>Cerramientos</t>
  </si>
  <si>
    <t>Parois</t>
  </si>
  <si>
    <t>Chauffage kWh/m2</t>
  </si>
  <si>
    <t>Gains Situation Initiale</t>
  </si>
  <si>
    <t>Fenêtres</t>
  </si>
  <si>
    <t>Infiltration + Ventilation</t>
  </si>
  <si>
    <t>Gains Intérieurs</t>
  </si>
  <si>
    <t>Déperditions Situation Initiale</t>
  </si>
  <si>
    <t>Déperditions Situation Finale</t>
  </si>
  <si>
    <t>Gains Situation Finale</t>
  </si>
  <si>
    <t>Perdidas Situación Inicial</t>
  </si>
  <si>
    <t>Perdidas Situación Final</t>
  </si>
  <si>
    <t>Ganancias Situación Inicial</t>
  </si>
  <si>
    <t>Ganancias Situación Final</t>
  </si>
  <si>
    <t>Infitración+Ventilación</t>
  </si>
  <si>
    <t>Refroidissement kWh/m2</t>
  </si>
  <si>
    <t>Zone froide</t>
  </si>
  <si>
    <t>Zona templada</t>
  </si>
  <si>
    <t>Temp. Distribución 35ºC</t>
  </si>
  <si>
    <t>Temp. Distribution 35ºC</t>
  </si>
  <si>
    <t>Temp. Distribución 40ºC</t>
  </si>
  <si>
    <t>Temp. Distribution 40ºC</t>
  </si>
  <si>
    <t>Temp. Distribución 45ºC</t>
  </si>
  <si>
    <t>Temp. Distribución 50ºC</t>
  </si>
  <si>
    <t>Temp. Distribución 55ºC</t>
  </si>
  <si>
    <t>Temp. Distribution 45ºC</t>
  </si>
  <si>
    <t>Temp. Distribution 50ºC</t>
  </si>
  <si>
    <t>Temp. Distribution 55ºC</t>
  </si>
  <si>
    <t>Cualquier Temperatura</t>
  </si>
  <si>
    <t>Temp. Quelconque</t>
  </si>
  <si>
    <t>Zona fría</t>
  </si>
  <si>
    <t>Zone tempérée</t>
  </si>
  <si>
    <t>Chaudière Chauffage standard</t>
  </si>
  <si>
    <t>Chaudière Chauffage basse température</t>
  </si>
  <si>
    <t>Chaudière de condensation</t>
  </si>
  <si>
    <t>Chaudière chauffage biomasse</t>
  </si>
  <si>
    <t>Chaudière chauffage biomasse UNE EN 305-5-1999</t>
  </si>
  <si>
    <t>Chaudière mixte basse température</t>
  </si>
  <si>
    <t>Chaudière mixte condensation</t>
  </si>
  <si>
    <t>Chaudière mixte combustion biomasse</t>
  </si>
  <si>
    <t>Chaudière mixte biomasse</t>
  </si>
  <si>
    <t>Chaudière mixte biomasse EN 305-5-1999</t>
  </si>
  <si>
    <t>PaC centralisé maison individuelle</t>
  </si>
  <si>
    <t>PaC centralisé bâtiment collectif</t>
  </si>
  <si>
    <t>PaC type Split individuelle ou collectif</t>
  </si>
  <si>
    <t>PaC géothermique, exangeur vertical maison individuelle</t>
  </si>
  <si>
    <t>PaC géothermique, exangeur vertical bâtiment collectif</t>
  </si>
  <si>
    <t>PaC géothermique exangeur horizontal maison individuelle</t>
  </si>
  <si>
    <t>HP geothermal horizontal interchanger single family houses</t>
  </si>
  <si>
    <t>Biomasse</t>
  </si>
  <si>
    <t>Bois (sapin)</t>
  </si>
  <si>
    <t>Electricité  (thermique)</t>
  </si>
  <si>
    <t>Bois (chêne)</t>
  </si>
  <si>
    <t>Electricité (hydroélectrique)</t>
  </si>
  <si>
    <t>Electricité (nucléaire)</t>
  </si>
  <si>
    <t>Biomasse (Es)</t>
  </si>
  <si>
    <t>Electricidad central de carbon</t>
  </si>
  <si>
    <t>Electricité (ES)</t>
  </si>
  <si>
    <t>Electricidad Mix UCPTE</t>
  </si>
  <si>
    <t>Electricité Mix UCPTE</t>
  </si>
  <si>
    <t>Electricité centrale coke</t>
  </si>
  <si>
    <t>Gaz</t>
  </si>
  <si>
    <t>Fuel</t>
  </si>
  <si>
    <t>Temp. Distribución 7ºC</t>
  </si>
  <si>
    <t>Temp. Distribución 12ºC</t>
  </si>
  <si>
    <t>Temp. Distribución 17ºC</t>
  </si>
  <si>
    <t>Temp. Distribution 7ºC</t>
  </si>
  <si>
    <t>Temp. Distribution 12ºC</t>
  </si>
  <si>
    <t>Temp. Distribution 17ºC</t>
  </si>
  <si>
    <t>Sin Refrigeraciòn</t>
  </si>
  <si>
    <t>Sans Refroidissement</t>
  </si>
  <si>
    <t>Con Refrigeraciòn</t>
  </si>
  <si>
    <t>Avec Refroidissement</t>
  </si>
  <si>
    <t>Janvier</t>
  </si>
  <si>
    <t>Mars</t>
  </si>
  <si>
    <t>Mai</t>
  </si>
  <si>
    <t>Juin</t>
  </si>
  <si>
    <t>Juillet</t>
  </si>
  <si>
    <t>Aout</t>
  </si>
  <si>
    <t>Septembre</t>
  </si>
  <si>
    <t>Octobre</t>
  </si>
  <si>
    <t>Novembre</t>
  </si>
  <si>
    <t>Février</t>
  </si>
  <si>
    <t>Avril</t>
  </si>
  <si>
    <t>Décembre</t>
  </si>
  <si>
    <t>CALEFACCION (Final)</t>
  </si>
  <si>
    <t>REFRIGERACION (Final)</t>
  </si>
  <si>
    <t>CHAUFFAGE (Final)</t>
  </si>
  <si>
    <t>REFROIDISSEMENT (Final)</t>
  </si>
  <si>
    <t>CHAUFFAGE (Initial)</t>
  </si>
  <si>
    <t>CALEFACCION (Inicial)</t>
  </si>
  <si>
    <t>REFRIGERACION (Inicial)</t>
  </si>
  <si>
    <t>HEATING (Initial)</t>
  </si>
  <si>
    <t>COOLING (Initial)</t>
  </si>
  <si>
    <t>REFROIDISSEMENT (Initial)</t>
  </si>
  <si>
    <t>REFROIDISSEMENT (initial)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</si>
</sst>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Symbol"/>
      <family val="1"/>
      <charset val="2"/>
    </font>
    <font>
      <sz val="11"/>
      <color indexed="10"/>
      <name val="Arial"/>
      <family val="2"/>
    </font>
    <font>
      <sz val="11"/>
      <name val="Symbol"/>
      <family val="1"/>
      <charset val="2"/>
    </font>
    <font>
      <vertAlign val="superscript"/>
      <sz val="11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  <font>
      <vertAlign val="superscript"/>
      <sz val="10"/>
      <name val="Arial"/>
      <family val="2"/>
    </font>
    <font>
      <sz val="9"/>
      <name val="Geneva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b/>
      <sz val="20"/>
      <color rgb="FFFF0000"/>
      <name val="Arial"/>
      <family val="2"/>
    </font>
    <font>
      <sz val="2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9" fontId="14" fillId="0" borderId="0" applyFont="0" applyFill="0" applyBorder="0" applyAlignment="0" applyProtection="0"/>
    <xf numFmtId="0" fontId="25" fillId="0" borderId="0"/>
    <xf numFmtId="0" fontId="1" fillId="0" borderId="0"/>
  </cellStyleXfs>
  <cellXfs count="823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3" fontId="0" fillId="2" borderId="1" xfId="0" applyNumberFormat="1" applyFill="1" applyBorder="1" applyProtection="1">
      <protection hidden="1"/>
    </xf>
    <xf numFmtId="0" fontId="0" fillId="2" borderId="1" xfId="0" applyFill="1" applyBorder="1" applyProtection="1">
      <protection locked="0"/>
    </xf>
    <xf numFmtId="3" fontId="0" fillId="3" borderId="1" xfId="0" applyNumberFormat="1" applyFill="1" applyBorder="1" applyProtection="1">
      <protection hidden="1"/>
    </xf>
    <xf numFmtId="0" fontId="0" fillId="3" borderId="1" xfId="0" applyFill="1" applyBorder="1" applyProtection="1">
      <protection locked="0"/>
    </xf>
    <xf numFmtId="3" fontId="0" fillId="4" borderId="1" xfId="0" applyNumberFormat="1" applyFill="1" applyBorder="1" applyProtection="1">
      <protection hidden="1"/>
    </xf>
    <xf numFmtId="0" fontId="0" fillId="4" borderId="1" xfId="0" applyFill="1" applyBorder="1" applyProtection="1">
      <protection locked="0"/>
    </xf>
    <xf numFmtId="3" fontId="0" fillId="5" borderId="1" xfId="0" applyNumberFormat="1" applyFill="1" applyBorder="1" applyProtection="1">
      <protection hidden="1"/>
    </xf>
    <xf numFmtId="0" fontId="0" fillId="5" borderId="1" xfId="0" applyFill="1" applyBorder="1" applyProtection="1">
      <protection locked="0"/>
    </xf>
    <xf numFmtId="3" fontId="0" fillId="6" borderId="1" xfId="0" applyNumberFormat="1" applyFill="1" applyBorder="1" applyProtection="1">
      <protection hidden="1"/>
    </xf>
    <xf numFmtId="0" fontId="0" fillId="6" borderId="1" xfId="0" applyFill="1" applyBorder="1" applyProtection="1">
      <protection locked="0"/>
    </xf>
    <xf numFmtId="0" fontId="4" fillId="7" borderId="1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3" borderId="1" xfId="0" applyFont="1" applyFill="1" applyBorder="1" applyProtection="1">
      <protection hidden="1"/>
    </xf>
    <xf numFmtId="0" fontId="4" fillId="4" borderId="1" xfId="0" applyFont="1" applyFill="1" applyBorder="1" applyProtection="1">
      <protection hidden="1"/>
    </xf>
    <xf numFmtId="0" fontId="4" fillId="5" borderId="1" xfId="0" applyFont="1" applyFill="1" applyBorder="1" applyProtection="1">
      <protection hidden="1"/>
    </xf>
    <xf numFmtId="0" fontId="4" fillId="6" borderId="1" xfId="0" applyFont="1" applyFill="1" applyBorder="1" applyProtection="1">
      <protection hidden="1"/>
    </xf>
    <xf numFmtId="0" fontId="0" fillId="0" borderId="2" xfId="0" applyBorder="1" applyProtection="1">
      <protection hidden="1"/>
    </xf>
    <xf numFmtId="0" fontId="4" fillId="7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3" fontId="0" fillId="2" borderId="4" xfId="0" applyNumberFormat="1" applyFill="1" applyBorder="1" applyProtection="1">
      <protection hidden="1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4" fillId="3" borderId="3" xfId="0" applyFont="1" applyFill="1" applyBorder="1" applyProtection="1">
      <protection hidden="1"/>
    </xf>
    <xf numFmtId="0" fontId="4" fillId="3" borderId="4" xfId="0" applyFont="1" applyFill="1" applyBorder="1" applyProtection="1">
      <protection hidden="1"/>
    </xf>
    <xf numFmtId="3" fontId="0" fillId="3" borderId="3" xfId="0" applyNumberFormat="1" applyFill="1" applyBorder="1" applyProtection="1">
      <protection hidden="1"/>
    </xf>
    <xf numFmtId="3" fontId="0" fillId="3" borderId="4" xfId="0" applyNumberFormat="1" applyFill="1" applyBorder="1" applyProtection="1">
      <protection hidden="1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3" fontId="0" fillId="3" borderId="4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4" fillId="4" borderId="3" xfId="0" applyFont="1" applyFill="1" applyBorder="1" applyProtection="1">
      <protection hidden="1"/>
    </xf>
    <xf numFmtId="0" fontId="4" fillId="4" borderId="4" xfId="0" applyFont="1" applyFill="1" applyBorder="1" applyProtection="1">
      <protection hidden="1"/>
    </xf>
    <xf numFmtId="3" fontId="0" fillId="4" borderId="3" xfId="0" applyNumberFormat="1" applyFill="1" applyBorder="1" applyProtection="1">
      <protection hidden="1"/>
    </xf>
    <xf numFmtId="3" fontId="0" fillId="4" borderId="4" xfId="0" applyNumberFormat="1" applyFill="1" applyBorder="1" applyProtection="1">
      <protection hidden="1"/>
    </xf>
    <xf numFmtId="3" fontId="0" fillId="4" borderId="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4" fillId="5" borderId="3" xfId="0" applyFont="1" applyFill="1" applyBorder="1" applyProtection="1">
      <protection hidden="1"/>
    </xf>
    <xf numFmtId="0" fontId="4" fillId="5" borderId="4" xfId="0" applyFont="1" applyFill="1" applyBorder="1" applyProtection="1">
      <protection hidden="1"/>
    </xf>
    <xf numFmtId="3" fontId="0" fillId="5" borderId="3" xfId="0" applyNumberFormat="1" applyFill="1" applyBorder="1" applyProtection="1">
      <protection hidden="1"/>
    </xf>
    <xf numFmtId="3" fontId="0" fillId="5" borderId="4" xfId="0" applyNumberFormat="1" applyFill="1" applyBorder="1" applyProtection="1">
      <protection hidden="1"/>
    </xf>
    <xf numFmtId="0" fontId="0" fillId="5" borderId="3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4" fillId="6" borderId="3" xfId="0" applyFont="1" applyFill="1" applyBorder="1" applyProtection="1">
      <protection hidden="1"/>
    </xf>
    <xf numFmtId="3" fontId="0" fillId="6" borderId="3" xfId="0" applyNumberFormat="1" applyFill="1" applyBorder="1" applyProtection="1">
      <protection hidden="1"/>
    </xf>
    <xf numFmtId="3" fontId="0" fillId="6" borderId="3" xfId="0" applyNumberFormat="1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4" fillId="6" borderId="8" xfId="0" applyFont="1" applyFill="1" applyBorder="1" applyProtection="1">
      <protection hidden="1"/>
    </xf>
    <xf numFmtId="3" fontId="0" fillId="6" borderId="8" xfId="0" applyNumberFormat="1" applyFill="1" applyBorder="1" applyProtection="1">
      <protection hidden="1"/>
    </xf>
    <xf numFmtId="0" fontId="0" fillId="6" borderId="8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0" borderId="10" xfId="0" applyBorder="1" applyProtection="1"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0" fontId="4" fillId="8" borderId="3" xfId="0" applyFont="1" applyFill="1" applyBorder="1" applyProtection="1">
      <protection hidden="1"/>
    </xf>
    <xf numFmtId="0" fontId="4" fillId="8" borderId="1" xfId="0" applyFont="1" applyFill="1" applyBorder="1" applyProtection="1">
      <protection hidden="1"/>
    </xf>
    <xf numFmtId="0" fontId="4" fillId="8" borderId="4" xfId="0" applyFont="1" applyFill="1" applyBorder="1" applyProtection="1">
      <protection hidden="1"/>
    </xf>
    <xf numFmtId="3" fontId="0" fillId="8" borderId="8" xfId="0" applyNumberFormat="1" applyFill="1" applyBorder="1" applyProtection="1">
      <protection hidden="1"/>
    </xf>
    <xf numFmtId="0" fontId="0" fillId="8" borderId="8" xfId="0" applyFill="1" applyBorder="1" applyProtection="1">
      <protection locked="0"/>
    </xf>
    <xf numFmtId="0" fontId="4" fillId="8" borderId="0" xfId="0" applyFont="1" applyFill="1" applyBorder="1" applyAlignment="1" applyProtection="1">
      <alignment horizontal="left"/>
      <protection hidden="1"/>
    </xf>
    <xf numFmtId="0" fontId="4" fillId="9" borderId="0" xfId="0" applyFont="1" applyFill="1" applyBorder="1" applyAlignment="1" applyProtection="1">
      <alignment horizontal="left"/>
      <protection hidden="1"/>
    </xf>
    <xf numFmtId="0" fontId="4" fillId="9" borderId="0" xfId="0" applyFont="1" applyFill="1" applyBorder="1" applyAlignment="1" applyProtection="1">
      <alignment horizontal="center"/>
      <protection hidden="1"/>
    </xf>
    <xf numFmtId="0" fontId="4" fillId="9" borderId="3" xfId="0" applyFont="1" applyFill="1" applyBorder="1" applyProtection="1">
      <protection hidden="1"/>
    </xf>
    <xf numFmtId="0" fontId="4" fillId="9" borderId="1" xfId="0" applyFont="1" applyFill="1" applyBorder="1" applyProtection="1">
      <protection hidden="1"/>
    </xf>
    <xf numFmtId="0" fontId="4" fillId="9" borderId="4" xfId="0" applyFont="1" applyFill="1" applyBorder="1" applyProtection="1">
      <protection hidden="1"/>
    </xf>
    <xf numFmtId="3" fontId="0" fillId="9" borderId="8" xfId="0" applyNumberFormat="1" applyFill="1" applyBorder="1" applyProtection="1">
      <protection hidden="1"/>
    </xf>
    <xf numFmtId="0" fontId="0" fillId="9" borderId="8" xfId="0" applyFill="1" applyBorder="1" applyProtection="1">
      <protection locked="0"/>
    </xf>
    <xf numFmtId="0" fontId="4" fillId="10" borderId="1" xfId="0" applyFont="1" applyFill="1" applyBorder="1" applyProtection="1">
      <protection hidden="1"/>
    </xf>
    <xf numFmtId="0" fontId="4" fillId="11" borderId="0" xfId="0" applyFont="1" applyFill="1" applyBorder="1" applyAlignment="1" applyProtection="1">
      <alignment horizontal="left"/>
      <protection hidden="1"/>
    </xf>
    <xf numFmtId="0" fontId="4" fillId="11" borderId="0" xfId="0" applyFont="1" applyFill="1" applyBorder="1" applyAlignment="1" applyProtection="1">
      <alignment horizontal="center"/>
      <protection hidden="1"/>
    </xf>
    <xf numFmtId="0" fontId="4" fillId="11" borderId="3" xfId="0" applyFont="1" applyFill="1" applyBorder="1" applyProtection="1">
      <protection hidden="1"/>
    </xf>
    <xf numFmtId="0" fontId="4" fillId="11" borderId="1" xfId="0" applyFont="1" applyFill="1" applyBorder="1" applyProtection="1">
      <protection hidden="1"/>
    </xf>
    <xf numFmtId="0" fontId="4" fillId="11" borderId="4" xfId="0" applyFont="1" applyFill="1" applyBorder="1" applyProtection="1">
      <protection hidden="1"/>
    </xf>
    <xf numFmtId="3" fontId="0" fillId="11" borderId="8" xfId="0" applyNumberFormat="1" applyFill="1" applyBorder="1" applyProtection="1">
      <protection hidden="1"/>
    </xf>
    <xf numFmtId="0" fontId="0" fillId="11" borderId="8" xfId="0" applyFill="1" applyBorder="1" applyProtection="1">
      <protection locked="0"/>
    </xf>
    <xf numFmtId="0" fontId="4" fillId="12" borderId="0" xfId="0" applyFont="1" applyFill="1" applyBorder="1" applyAlignment="1" applyProtection="1">
      <alignment horizontal="left"/>
      <protection hidden="1"/>
    </xf>
    <xf numFmtId="0" fontId="4" fillId="12" borderId="0" xfId="0" applyFont="1" applyFill="1" applyBorder="1" applyAlignment="1" applyProtection="1">
      <alignment horizontal="center"/>
      <protection hidden="1"/>
    </xf>
    <xf numFmtId="0" fontId="4" fillId="12" borderId="3" xfId="0" applyFont="1" applyFill="1" applyBorder="1" applyProtection="1">
      <protection hidden="1"/>
    </xf>
    <xf numFmtId="0" fontId="4" fillId="12" borderId="1" xfId="0" applyFont="1" applyFill="1" applyBorder="1" applyProtection="1">
      <protection hidden="1"/>
    </xf>
    <xf numFmtId="0" fontId="4" fillId="12" borderId="4" xfId="0" applyFont="1" applyFill="1" applyBorder="1" applyProtection="1">
      <protection hidden="1"/>
    </xf>
    <xf numFmtId="3" fontId="0" fillId="12" borderId="8" xfId="0" applyNumberFormat="1" applyFill="1" applyBorder="1" applyProtection="1">
      <protection hidden="1"/>
    </xf>
    <xf numFmtId="0" fontId="0" fillId="12" borderId="8" xfId="0" applyFill="1" applyBorder="1" applyProtection="1">
      <protection locked="0"/>
    </xf>
    <xf numFmtId="164" fontId="0" fillId="7" borderId="3" xfId="0" applyNumberFormat="1" applyFill="1" applyBorder="1" applyProtection="1">
      <protection hidden="1"/>
    </xf>
    <xf numFmtId="164" fontId="0" fillId="7" borderId="1" xfId="0" applyNumberFormat="1" applyFill="1" applyBorder="1" applyProtection="1">
      <protection hidden="1"/>
    </xf>
    <xf numFmtId="0" fontId="4" fillId="10" borderId="11" xfId="0" applyFont="1" applyFill="1" applyBorder="1" applyAlignment="1" applyProtection="1">
      <alignment horizontal="center"/>
      <protection hidden="1"/>
    </xf>
    <xf numFmtId="0" fontId="4" fillId="7" borderId="8" xfId="0" applyFont="1" applyFill="1" applyBorder="1" applyProtection="1">
      <protection hidden="1"/>
    </xf>
    <xf numFmtId="164" fontId="0" fillId="7" borderId="8" xfId="0" applyNumberFormat="1" applyFill="1" applyBorder="1" applyProtection="1">
      <protection hidden="1"/>
    </xf>
    <xf numFmtId="0" fontId="4" fillId="2" borderId="12" xfId="0" applyFont="1" applyFill="1" applyBorder="1" applyProtection="1">
      <protection hidden="1"/>
    </xf>
    <xf numFmtId="3" fontId="0" fillId="2" borderId="12" xfId="0" applyNumberFormat="1" applyFill="1" applyBorder="1" applyProtection="1">
      <protection hidden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10" borderId="1" xfId="0" applyFill="1" applyBorder="1" applyProtection="1">
      <protection hidden="1"/>
    </xf>
    <xf numFmtId="164" fontId="0" fillId="10" borderId="1" xfId="0" applyNumberFormat="1" applyFill="1" applyBorder="1" applyProtection="1">
      <protection hidden="1"/>
    </xf>
    <xf numFmtId="0" fontId="0" fillId="10" borderId="1" xfId="0" applyFill="1" applyBorder="1" applyProtection="1">
      <protection locked="0"/>
    </xf>
    <xf numFmtId="0" fontId="4" fillId="10" borderId="11" xfId="0" applyFont="1" applyFill="1" applyBorder="1" applyAlignment="1" applyProtection="1">
      <alignment horizontal="left"/>
      <protection hidden="1"/>
    </xf>
    <xf numFmtId="0" fontId="6" fillId="0" borderId="14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0" fontId="6" fillId="0" borderId="19" xfId="0" applyFont="1" applyBorder="1" applyProtection="1">
      <protection hidden="1"/>
    </xf>
    <xf numFmtId="3" fontId="6" fillId="0" borderId="20" xfId="0" applyNumberFormat="1" applyFont="1" applyBorder="1" applyAlignment="1" applyProtection="1">
      <alignment horizontal="center"/>
      <protection hidden="1"/>
    </xf>
    <xf numFmtId="3" fontId="6" fillId="0" borderId="21" xfId="0" applyNumberFormat="1" applyFont="1" applyBorder="1" applyAlignment="1" applyProtection="1">
      <alignment horizontal="center"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0" fontId="6" fillId="0" borderId="2" xfId="0" applyFont="1" applyBorder="1" applyProtection="1">
      <protection hidden="1"/>
    </xf>
    <xf numFmtId="0" fontId="6" fillId="0" borderId="9" xfId="0" applyFont="1" applyBorder="1" applyProtection="1"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6" fillId="0" borderId="25" xfId="0" applyNumberFormat="1" applyFont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alignment horizontal="center"/>
      <protection hidden="1"/>
    </xf>
    <xf numFmtId="3" fontId="6" fillId="0" borderId="27" xfId="0" applyNumberFormat="1" applyFont="1" applyBorder="1" applyAlignment="1" applyProtection="1">
      <alignment horizontal="center"/>
      <protection hidden="1"/>
    </xf>
    <xf numFmtId="3" fontId="6" fillId="0" borderId="28" xfId="0" applyNumberFormat="1" applyFont="1" applyBorder="1" applyAlignment="1" applyProtection="1">
      <alignment horizontal="center"/>
      <protection hidden="1"/>
    </xf>
    <xf numFmtId="3" fontId="6" fillId="0" borderId="7" xfId="0" applyNumberFormat="1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18" xfId="0" applyFont="1" applyBorder="1" applyProtection="1">
      <protection hidden="1"/>
    </xf>
    <xf numFmtId="3" fontId="7" fillId="0" borderId="32" xfId="0" applyNumberFormat="1" applyFont="1" applyBorder="1" applyAlignment="1" applyProtection="1">
      <alignment horizontal="center"/>
      <protection hidden="1"/>
    </xf>
    <xf numFmtId="0" fontId="7" fillId="0" borderId="10" xfId="0" applyFont="1" applyBorder="1" applyProtection="1">
      <protection hidden="1"/>
    </xf>
    <xf numFmtId="3" fontId="7" fillId="0" borderId="3" xfId="0" applyNumberFormat="1" applyFont="1" applyBorder="1" applyAlignment="1" applyProtection="1">
      <alignment horizontal="center"/>
      <protection hidden="1"/>
    </xf>
    <xf numFmtId="3" fontId="7" fillId="0" borderId="1" xfId="0" applyNumberFormat="1" applyFont="1" applyBorder="1" applyAlignment="1" applyProtection="1">
      <alignment horizontal="center"/>
      <protection hidden="1"/>
    </xf>
    <xf numFmtId="0" fontId="7" fillId="0" borderId="33" xfId="0" applyFont="1" applyBorder="1" applyProtection="1">
      <protection hidden="1"/>
    </xf>
    <xf numFmtId="3" fontId="7" fillId="0" borderId="7" xfId="0" applyNumberFormat="1" applyFont="1" applyBorder="1" applyAlignment="1" applyProtection="1">
      <alignment horizontal="center"/>
      <protection hidden="1"/>
    </xf>
    <xf numFmtId="0" fontId="7" fillId="0" borderId="14" xfId="0" applyFont="1" applyBorder="1" applyProtection="1"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0" xfId="0" applyNumberFormat="1" applyFont="1" applyAlignment="1" applyProtection="1">
      <alignment horizontal="center"/>
      <protection hidden="1"/>
    </xf>
    <xf numFmtId="3" fontId="7" fillId="0" borderId="29" xfId="0" applyNumberFormat="1" applyFont="1" applyBorder="1" applyAlignment="1" applyProtection="1">
      <alignment horizontal="center"/>
      <protection hidden="1"/>
    </xf>
    <xf numFmtId="0" fontId="7" fillId="0" borderId="27" xfId="0" applyFont="1" applyBorder="1" applyProtection="1">
      <protection hidden="1"/>
    </xf>
    <xf numFmtId="0" fontId="7" fillId="0" borderId="35" xfId="0" applyFont="1" applyBorder="1" applyProtection="1">
      <protection hidden="1"/>
    </xf>
    <xf numFmtId="0" fontId="7" fillId="0" borderId="36" xfId="0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Protection="1">
      <protection hidden="1"/>
    </xf>
    <xf numFmtId="0" fontId="6" fillId="0" borderId="0" xfId="0" applyFont="1" applyProtection="1">
      <protection hidden="1"/>
    </xf>
    <xf numFmtId="0" fontId="7" fillId="7" borderId="1" xfId="0" applyFont="1" applyFill="1" applyBorder="1" applyProtection="1">
      <protection hidden="1"/>
    </xf>
    <xf numFmtId="0" fontId="7" fillId="0" borderId="0" xfId="0" applyFont="1" applyProtection="1">
      <protection locked="0"/>
    </xf>
    <xf numFmtId="0" fontId="7" fillId="0" borderId="12" xfId="0" applyFont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7" fillId="0" borderId="8" xfId="0" applyFont="1" applyBorder="1" applyProtection="1">
      <protection hidden="1"/>
    </xf>
    <xf numFmtId="0" fontId="9" fillId="13" borderId="1" xfId="0" applyFont="1" applyFill="1" applyBorder="1" applyProtection="1">
      <protection hidden="1"/>
    </xf>
    <xf numFmtId="0" fontId="7" fillId="0" borderId="38" xfId="0" applyFont="1" applyBorder="1" applyProtection="1">
      <protection hidden="1"/>
    </xf>
    <xf numFmtId="0" fontId="9" fillId="13" borderId="25" xfId="0" applyFont="1" applyFill="1" applyBorder="1" applyProtection="1">
      <protection hidden="1"/>
    </xf>
    <xf numFmtId="0" fontId="7" fillId="0" borderId="1" xfId="0" applyFont="1" applyFill="1" applyBorder="1" applyProtection="1">
      <protection hidden="1"/>
    </xf>
    <xf numFmtId="0" fontId="7" fillId="0" borderId="39" xfId="0" applyFont="1" applyBorder="1" applyProtection="1">
      <protection hidden="1"/>
    </xf>
    <xf numFmtId="0" fontId="7" fillId="0" borderId="40" xfId="0" applyFont="1" applyBorder="1" applyProtection="1">
      <protection hidden="1"/>
    </xf>
    <xf numFmtId="0" fontId="7" fillId="0" borderId="41" xfId="0" applyFont="1" applyBorder="1" applyProtection="1">
      <protection hidden="1"/>
    </xf>
    <xf numFmtId="0" fontId="7" fillId="0" borderId="42" xfId="0" applyFont="1" applyBorder="1" applyProtection="1">
      <protection hidden="1"/>
    </xf>
    <xf numFmtId="0" fontId="7" fillId="0" borderId="43" xfId="0" applyFont="1" applyBorder="1" applyProtection="1">
      <protection hidden="1"/>
    </xf>
    <xf numFmtId="0" fontId="7" fillId="0" borderId="44" xfId="0" applyFont="1" applyBorder="1" applyProtection="1">
      <protection hidden="1"/>
    </xf>
    <xf numFmtId="0" fontId="7" fillId="0" borderId="45" xfId="0" applyFont="1" applyBorder="1" applyProtection="1">
      <protection hidden="1"/>
    </xf>
    <xf numFmtId="0" fontId="7" fillId="0" borderId="46" xfId="0" applyFont="1" applyBorder="1" applyProtection="1">
      <protection hidden="1"/>
    </xf>
    <xf numFmtId="0" fontId="7" fillId="0" borderId="47" xfId="0" applyFont="1" applyFill="1" applyBorder="1" applyProtection="1">
      <protection hidden="1"/>
    </xf>
    <xf numFmtId="0" fontId="7" fillId="0" borderId="25" xfId="0" applyFont="1" applyBorder="1" applyProtection="1">
      <protection hidden="1"/>
    </xf>
    <xf numFmtId="0" fontId="7" fillId="0" borderId="47" xfId="0" applyFont="1" applyBorder="1" applyProtection="1">
      <protection hidden="1"/>
    </xf>
    <xf numFmtId="0" fontId="7" fillId="0" borderId="48" xfId="0" applyFont="1" applyBorder="1" applyProtection="1">
      <protection hidden="1"/>
    </xf>
    <xf numFmtId="0" fontId="7" fillId="0" borderId="1" xfId="0" applyFont="1" applyBorder="1" applyProtection="1">
      <protection hidden="1"/>
    </xf>
    <xf numFmtId="2" fontId="7" fillId="0" borderId="1" xfId="0" applyNumberFormat="1" applyFont="1" applyBorder="1" applyProtection="1">
      <protection hidden="1"/>
    </xf>
    <xf numFmtId="164" fontId="7" fillId="0" borderId="1" xfId="0" applyNumberFormat="1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25" xfId="0" applyFont="1" applyFill="1" applyBorder="1" applyProtection="1">
      <protection hidden="1"/>
    </xf>
    <xf numFmtId="0" fontId="7" fillId="0" borderId="39" xfId="0" applyFont="1" applyBorder="1" applyAlignment="1" applyProtection="1">
      <protection hidden="1"/>
    </xf>
    <xf numFmtId="0" fontId="7" fillId="0" borderId="49" xfId="0" applyFont="1" applyBorder="1" applyProtection="1">
      <protection hidden="1"/>
    </xf>
    <xf numFmtId="0" fontId="7" fillId="8" borderId="32" xfId="0" applyFont="1" applyFill="1" applyBorder="1" applyAlignment="1" applyProtection="1">
      <alignment horizontal="center"/>
      <protection hidden="1"/>
    </xf>
    <xf numFmtId="0" fontId="7" fillId="8" borderId="46" xfId="0" applyFont="1" applyFill="1" applyBorder="1" applyAlignment="1" applyProtection="1">
      <alignment horizontal="center"/>
      <protection hidden="1"/>
    </xf>
    <xf numFmtId="0" fontId="7" fillId="8" borderId="50" xfId="0" applyFont="1" applyFill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protection hidden="1"/>
    </xf>
    <xf numFmtId="0" fontId="10" fillId="0" borderId="35" xfId="0" applyFont="1" applyBorder="1" applyProtection="1">
      <protection hidden="1"/>
    </xf>
    <xf numFmtId="0" fontId="7" fillId="0" borderId="52" xfId="0" applyFont="1" applyBorder="1" applyProtection="1">
      <protection hidden="1"/>
    </xf>
    <xf numFmtId="164" fontId="7" fillId="8" borderId="3" xfId="0" applyNumberFormat="1" applyFont="1" applyFill="1" applyBorder="1" applyAlignment="1" applyProtection="1">
      <alignment horizontal="center"/>
      <protection hidden="1"/>
    </xf>
    <xf numFmtId="164" fontId="7" fillId="8" borderId="1" xfId="0" applyNumberFormat="1" applyFont="1" applyFill="1" applyBorder="1" applyAlignment="1" applyProtection="1">
      <alignment horizontal="center"/>
      <protection hidden="1"/>
    </xf>
    <xf numFmtId="164" fontId="7" fillId="8" borderId="4" xfId="0" applyNumberFormat="1" applyFont="1" applyFill="1" applyBorder="1" applyAlignment="1" applyProtection="1">
      <alignment horizontal="center"/>
      <protection hidden="1"/>
    </xf>
    <xf numFmtId="0" fontId="7" fillId="8" borderId="3" xfId="0" applyFont="1" applyFill="1" applyBorder="1" applyAlignment="1" applyProtection="1">
      <alignment horizontal="center"/>
      <protection hidden="1"/>
    </xf>
    <xf numFmtId="0" fontId="7" fillId="8" borderId="1" xfId="0" applyFont="1" applyFill="1" applyBorder="1" applyAlignment="1" applyProtection="1">
      <alignment horizontal="center"/>
      <protection hidden="1"/>
    </xf>
    <xf numFmtId="0" fontId="7" fillId="8" borderId="4" xfId="0" applyFont="1" applyFill="1" applyBorder="1" applyAlignment="1" applyProtection="1">
      <alignment horizontal="center"/>
      <protection hidden="1"/>
    </xf>
    <xf numFmtId="164" fontId="7" fillId="0" borderId="0" xfId="0" applyNumberFormat="1" applyFont="1" applyProtection="1">
      <protection hidden="1"/>
    </xf>
    <xf numFmtId="1" fontId="7" fillId="8" borderId="3" xfId="0" applyNumberFormat="1" applyFont="1" applyFill="1" applyBorder="1" applyAlignment="1" applyProtection="1">
      <alignment horizontal="center"/>
      <protection hidden="1"/>
    </xf>
    <xf numFmtId="1" fontId="7" fillId="8" borderId="1" xfId="0" applyNumberFormat="1" applyFont="1" applyFill="1" applyBorder="1" applyAlignment="1" applyProtection="1">
      <alignment horizontal="center"/>
      <protection hidden="1"/>
    </xf>
    <xf numFmtId="1" fontId="7" fillId="8" borderId="4" xfId="0" applyNumberFormat="1" applyFont="1" applyFill="1" applyBorder="1" applyAlignment="1" applyProtection="1">
      <alignment horizontal="center"/>
      <protection hidden="1"/>
    </xf>
    <xf numFmtId="3" fontId="7" fillId="8" borderId="3" xfId="0" applyNumberFormat="1" applyFont="1" applyFill="1" applyBorder="1" applyAlignment="1" applyProtection="1">
      <alignment horizontal="center"/>
      <protection hidden="1"/>
    </xf>
    <xf numFmtId="3" fontId="7" fillId="8" borderId="1" xfId="0" applyNumberFormat="1" applyFont="1" applyFill="1" applyBorder="1" applyAlignment="1" applyProtection="1">
      <alignment horizontal="center"/>
      <protection hidden="1"/>
    </xf>
    <xf numFmtId="3" fontId="7" fillId="8" borderId="4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Border="1" applyProtection="1">
      <protection hidden="1"/>
    </xf>
    <xf numFmtId="0" fontId="7" fillId="0" borderId="53" xfId="0" applyFont="1" applyBorder="1" applyProtection="1">
      <protection hidden="1"/>
    </xf>
    <xf numFmtId="3" fontId="7" fillId="8" borderId="24" xfId="0" applyNumberFormat="1" applyFont="1" applyFill="1" applyBorder="1" applyAlignment="1" applyProtection="1">
      <alignment horizontal="center"/>
      <protection hidden="1"/>
    </xf>
    <xf numFmtId="3" fontId="7" fillId="8" borderId="25" xfId="0" applyNumberFormat="1" applyFont="1" applyFill="1" applyBorder="1" applyAlignment="1" applyProtection="1">
      <alignment horizontal="center"/>
      <protection hidden="1"/>
    </xf>
    <xf numFmtId="3" fontId="7" fillId="8" borderId="26" xfId="0" applyNumberFormat="1" applyFont="1" applyFill="1" applyBorder="1" applyAlignment="1" applyProtection="1">
      <alignment horizontal="center"/>
      <protection hidden="1"/>
    </xf>
    <xf numFmtId="0" fontId="7" fillId="0" borderId="20" xfId="0" applyFont="1" applyBorder="1" applyProtection="1">
      <protection hidden="1"/>
    </xf>
    <xf numFmtId="0" fontId="7" fillId="0" borderId="22" xfId="0" applyFont="1" applyBorder="1" applyProtection="1">
      <protection hidden="1"/>
    </xf>
    <xf numFmtId="3" fontId="7" fillId="8" borderId="20" xfId="0" applyNumberFormat="1" applyFont="1" applyFill="1" applyBorder="1" applyAlignment="1" applyProtection="1">
      <alignment horizontal="center"/>
      <protection hidden="1"/>
    </xf>
    <xf numFmtId="0" fontId="7" fillId="0" borderId="3" xfId="0" applyFont="1" applyBorder="1" applyProtection="1">
      <protection hidden="1"/>
    </xf>
    <xf numFmtId="0" fontId="7" fillId="0" borderId="4" xfId="0" applyFont="1" applyBorder="1" applyProtection="1">
      <protection hidden="1"/>
    </xf>
    <xf numFmtId="2" fontId="7" fillId="8" borderId="3" xfId="0" applyNumberFormat="1" applyFont="1" applyFill="1" applyBorder="1" applyAlignment="1" applyProtection="1">
      <alignment horizontal="center"/>
      <protection hidden="1"/>
    </xf>
    <xf numFmtId="2" fontId="7" fillId="8" borderId="1" xfId="0" applyNumberFormat="1" applyFont="1" applyFill="1" applyBorder="1" applyAlignment="1" applyProtection="1">
      <alignment horizontal="center"/>
      <protection hidden="1"/>
    </xf>
    <xf numFmtId="2" fontId="7" fillId="8" borderId="4" xfId="0" applyNumberFormat="1" applyFont="1" applyFill="1" applyBorder="1" applyAlignment="1" applyProtection="1">
      <alignment horizontal="center"/>
      <protection hidden="1"/>
    </xf>
    <xf numFmtId="2" fontId="7" fillId="0" borderId="1" xfId="0" applyNumberFormat="1" applyFont="1" applyBorder="1" applyAlignment="1" applyProtection="1">
      <alignment horizontal="center"/>
      <protection hidden="1"/>
    </xf>
    <xf numFmtId="3" fontId="7" fillId="0" borderId="8" xfId="0" applyNumberFormat="1" applyFont="1" applyBorder="1" applyProtection="1">
      <protection hidden="1"/>
    </xf>
    <xf numFmtId="1" fontId="7" fillId="0" borderId="10" xfId="0" applyNumberFormat="1" applyFont="1" applyBorder="1" applyProtection="1">
      <protection hidden="1"/>
    </xf>
    <xf numFmtId="0" fontId="7" fillId="0" borderId="7" xfId="0" applyFont="1" applyBorder="1" applyProtection="1">
      <protection hidden="1"/>
    </xf>
    <xf numFmtId="3" fontId="7" fillId="0" borderId="9" xfId="0" applyNumberFormat="1" applyFont="1" applyBorder="1" applyProtection="1">
      <protection hidden="1"/>
    </xf>
    <xf numFmtId="0" fontId="7" fillId="0" borderId="28" xfId="0" applyFont="1" applyBorder="1" applyProtection="1">
      <protection hidden="1"/>
    </xf>
    <xf numFmtId="1" fontId="7" fillId="0" borderId="33" xfId="0" applyNumberFormat="1" applyFont="1" applyBorder="1" applyProtection="1">
      <protection hidden="1"/>
    </xf>
    <xf numFmtId="1" fontId="7" fillId="0" borderId="14" xfId="0" applyNumberFormat="1" applyFont="1" applyBorder="1" applyProtection="1">
      <protection hidden="1"/>
    </xf>
    <xf numFmtId="0" fontId="7" fillId="0" borderId="12" xfId="0" applyFont="1" applyFill="1" applyBorder="1" applyProtection="1">
      <protection hidden="1"/>
    </xf>
    <xf numFmtId="3" fontId="6" fillId="0" borderId="51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5" fillId="0" borderId="18" xfId="0" applyFont="1" applyBorder="1" applyProtection="1">
      <protection hidden="1"/>
    </xf>
    <xf numFmtId="0" fontId="9" fillId="10" borderId="1" xfId="0" applyFont="1" applyFill="1" applyBorder="1" applyProtection="1">
      <protection hidden="1"/>
    </xf>
    <xf numFmtId="0" fontId="6" fillId="0" borderId="37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5" fillId="0" borderId="1" xfId="0" applyFont="1" applyFill="1" applyBorder="1" applyProtection="1">
      <protection hidden="1"/>
    </xf>
    <xf numFmtId="3" fontId="0" fillId="2" borderId="12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3" fontId="0" fillId="3" borderId="3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3" fontId="0" fillId="4" borderId="1" xfId="0" applyNumberFormat="1" applyFill="1" applyBorder="1" applyProtection="1">
      <protection locked="0"/>
    </xf>
    <xf numFmtId="3" fontId="0" fillId="4" borderId="4" xfId="0" applyNumberFormat="1" applyFill="1" applyBorder="1" applyProtection="1">
      <protection locked="0"/>
    </xf>
    <xf numFmtId="3" fontId="0" fillId="5" borderId="3" xfId="0" applyNumberFormat="1" applyFill="1" applyBorder="1" applyProtection="1">
      <protection locked="0"/>
    </xf>
    <xf numFmtId="3" fontId="0" fillId="5" borderId="1" xfId="0" applyNumberFormat="1" applyFill="1" applyBorder="1" applyProtection="1">
      <protection locked="0"/>
    </xf>
    <xf numFmtId="3" fontId="0" fillId="5" borderId="4" xfId="0" applyNumberFormat="1" applyFill="1" applyBorder="1" applyProtection="1">
      <protection locked="0"/>
    </xf>
    <xf numFmtId="3" fontId="0" fillId="6" borderId="1" xfId="0" applyNumberFormat="1" applyFill="1" applyBorder="1" applyProtection="1">
      <protection locked="0"/>
    </xf>
    <xf numFmtId="3" fontId="0" fillId="6" borderId="8" xfId="0" applyNumberFormat="1" applyFill="1" applyBorder="1" applyProtection="1">
      <protection locked="0"/>
    </xf>
    <xf numFmtId="3" fontId="0" fillId="8" borderId="8" xfId="0" applyNumberFormat="1" applyFill="1" applyBorder="1" applyProtection="1">
      <protection locked="0"/>
    </xf>
    <xf numFmtId="3" fontId="0" fillId="9" borderId="8" xfId="0" applyNumberFormat="1" applyFill="1" applyBorder="1" applyProtection="1">
      <protection locked="0"/>
    </xf>
    <xf numFmtId="3" fontId="0" fillId="11" borderId="8" xfId="0" applyNumberFormat="1" applyFill="1" applyBorder="1" applyProtection="1">
      <protection locked="0"/>
    </xf>
    <xf numFmtId="3" fontId="0" fillId="12" borderId="8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3" fontId="7" fillId="0" borderId="0" xfId="0" applyNumberFormat="1" applyFont="1" applyProtection="1">
      <protection hidden="1"/>
    </xf>
    <xf numFmtId="0" fontId="7" fillId="0" borderId="8" xfId="0" applyFont="1" applyFill="1" applyBorder="1" applyProtection="1">
      <protection hidden="1"/>
    </xf>
    <xf numFmtId="0" fontId="7" fillId="0" borderId="32" xfId="0" applyFont="1" applyBorder="1" applyProtection="1">
      <protection hidden="1"/>
    </xf>
    <xf numFmtId="0" fontId="7" fillId="0" borderId="50" xfId="0" applyFont="1" applyBorder="1" applyProtection="1">
      <protection hidden="1"/>
    </xf>
    <xf numFmtId="0" fontId="7" fillId="0" borderId="54" xfId="0" applyFont="1" applyBorder="1" applyProtection="1">
      <protection hidden="1"/>
    </xf>
    <xf numFmtId="0" fontId="7" fillId="0" borderId="23" xfId="0" applyFont="1" applyBorder="1" applyProtection="1">
      <protection hidden="1"/>
    </xf>
    <xf numFmtId="0" fontId="10" fillId="0" borderId="1" xfId="0" applyFont="1" applyBorder="1" applyProtection="1">
      <protection hidden="1"/>
    </xf>
    <xf numFmtId="0" fontId="7" fillId="0" borderId="47" xfId="0" applyFont="1" applyBorder="1" applyAlignment="1" applyProtection="1">
      <protection hidden="1"/>
    </xf>
    <xf numFmtId="0" fontId="7" fillId="0" borderId="46" xfId="0" applyFont="1" applyBorder="1" applyAlignment="1" applyProtection="1">
      <protection hidden="1"/>
    </xf>
    <xf numFmtId="3" fontId="17" fillId="0" borderId="1" xfId="0" applyNumberFormat="1" applyFont="1" applyBorder="1" applyAlignment="1" applyProtection="1">
      <alignment horizontal="center"/>
      <protection hidden="1"/>
    </xf>
    <xf numFmtId="3" fontId="17" fillId="0" borderId="46" xfId="0" applyNumberFormat="1" applyFont="1" applyBorder="1" applyAlignment="1" applyProtection="1">
      <alignment horizontal="center"/>
      <protection hidden="1"/>
    </xf>
    <xf numFmtId="3" fontId="17" fillId="0" borderId="47" xfId="0" applyNumberFormat="1" applyFont="1" applyBorder="1" applyAlignment="1" applyProtection="1">
      <alignment horizontal="center"/>
      <protection hidden="1"/>
    </xf>
    <xf numFmtId="3" fontId="17" fillId="14" borderId="1" xfId="0" applyNumberFormat="1" applyFont="1" applyFill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protection hidden="1"/>
    </xf>
    <xf numFmtId="0" fontId="9" fillId="13" borderId="1" xfId="0" quotePrefix="1" applyFont="1" applyFill="1" applyBorder="1" applyProtection="1">
      <protection hidden="1"/>
    </xf>
    <xf numFmtId="3" fontId="7" fillId="8" borderId="21" xfId="0" applyNumberFormat="1" applyFont="1" applyFill="1" applyBorder="1" applyAlignment="1" applyProtection="1">
      <alignment horizontal="center"/>
      <protection hidden="1"/>
    </xf>
    <xf numFmtId="3" fontId="7" fillId="8" borderId="22" xfId="0" applyNumberFormat="1" applyFont="1" applyFill="1" applyBorder="1" applyAlignment="1" applyProtection="1">
      <alignment horizontal="center"/>
      <protection hidden="1"/>
    </xf>
    <xf numFmtId="3" fontId="7" fillId="8" borderId="7" xfId="0" applyNumberFormat="1" applyFont="1" applyFill="1" applyBorder="1" applyAlignment="1" applyProtection="1">
      <alignment horizontal="center"/>
      <protection hidden="1"/>
    </xf>
    <xf numFmtId="3" fontId="7" fillId="8" borderId="5" xfId="0" applyNumberFormat="1" applyFont="1" applyFill="1" applyBorder="1" applyAlignment="1" applyProtection="1">
      <alignment horizontal="center"/>
      <protection hidden="1"/>
    </xf>
    <xf numFmtId="3" fontId="7" fillId="8" borderId="6" xfId="0" applyNumberFormat="1" applyFont="1" applyFill="1" applyBorder="1" applyAlignment="1" applyProtection="1">
      <alignment horizontal="center"/>
      <protection hidden="1"/>
    </xf>
    <xf numFmtId="0" fontId="7" fillId="0" borderId="6" xfId="0" applyFont="1" applyBorder="1" applyProtection="1">
      <protection hidden="1"/>
    </xf>
    <xf numFmtId="0" fontId="7" fillId="0" borderId="55" xfId="0" applyFont="1" applyBorder="1" applyAlignment="1" applyProtection="1">
      <protection hidden="1"/>
    </xf>
    <xf numFmtId="0" fontId="7" fillId="0" borderId="56" xfId="0" applyFont="1" applyBorder="1" applyAlignment="1" applyProtection="1">
      <protection hidden="1"/>
    </xf>
    <xf numFmtId="0" fontId="7" fillId="0" borderId="57" xfId="0" applyFont="1" applyBorder="1" applyAlignment="1" applyProtection="1">
      <protection hidden="1"/>
    </xf>
    <xf numFmtId="2" fontId="9" fillId="2" borderId="1" xfId="0" applyNumberFormat="1" applyFont="1" applyFill="1" applyBorder="1" applyProtection="1">
      <protection hidden="1"/>
    </xf>
    <xf numFmtId="2" fontId="9" fillId="10" borderId="1" xfId="0" applyNumberFormat="1" applyFont="1" applyFill="1" applyBorder="1" applyProtection="1">
      <protection hidden="1"/>
    </xf>
    <xf numFmtId="2" fontId="0" fillId="0" borderId="1" xfId="0" applyNumberFormat="1" applyBorder="1" applyProtection="1">
      <protection hidden="1"/>
    </xf>
    <xf numFmtId="2" fontId="5" fillId="0" borderId="1" xfId="0" applyNumberFormat="1" applyFont="1" applyBorder="1" applyProtection="1">
      <protection hidden="1"/>
    </xf>
    <xf numFmtId="0" fontId="5" fillId="0" borderId="1" xfId="0" quotePrefix="1" applyFont="1" applyBorder="1" applyProtection="1">
      <protection hidden="1"/>
    </xf>
    <xf numFmtId="2" fontId="5" fillId="0" borderId="1" xfId="0" quotePrefix="1" applyNumberFormat="1" applyFont="1" applyBorder="1" applyProtection="1">
      <protection hidden="1"/>
    </xf>
    <xf numFmtId="0" fontId="18" fillId="10" borderId="51" xfId="0" applyFont="1" applyFill="1" applyBorder="1" applyAlignment="1" applyProtection="1">
      <alignment vertical="center"/>
      <protection hidden="1"/>
    </xf>
    <xf numFmtId="2" fontId="0" fillId="10" borderId="1" xfId="0" applyNumberFormat="1" applyFill="1" applyBorder="1" applyAlignment="1" applyProtection="1">
      <alignment horizontal="center" vertical="center"/>
      <protection locked="0"/>
    </xf>
    <xf numFmtId="0" fontId="0" fillId="8" borderId="51" xfId="0" applyFill="1" applyBorder="1" applyAlignment="1" applyProtection="1">
      <alignment vertical="center"/>
      <protection hidden="1"/>
    </xf>
    <xf numFmtId="0" fontId="0" fillId="8" borderId="58" xfId="0" applyFill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alignment vertical="center"/>
      <protection locked="0"/>
    </xf>
    <xf numFmtId="0" fontId="0" fillId="8" borderId="0" xfId="0" applyFill="1" applyBorder="1" applyAlignment="1" applyProtection="1">
      <alignment vertical="center"/>
      <protection hidden="1"/>
    </xf>
    <xf numFmtId="0" fontId="5" fillId="15" borderId="1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right" vertical="center"/>
      <protection hidden="1"/>
    </xf>
    <xf numFmtId="3" fontId="4" fillId="10" borderId="1" xfId="0" applyNumberFormat="1" applyFont="1" applyFill="1" applyBorder="1" applyAlignment="1" applyProtection="1">
      <alignment horizontal="center" vertical="center"/>
      <protection hidden="1"/>
    </xf>
    <xf numFmtId="3" fontId="4" fillId="15" borderId="4" xfId="0" applyNumberFormat="1" applyFont="1" applyFill="1" applyBorder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15" borderId="1" xfId="0" applyFill="1" applyBorder="1" applyAlignment="1" applyProtection="1">
      <alignment horizontal="center" vertical="center"/>
      <protection locked="0"/>
    </xf>
    <xf numFmtId="0" fontId="5" fillId="8" borderId="51" xfId="0" applyFont="1" applyFill="1" applyBorder="1" applyAlignment="1" applyProtection="1">
      <alignment vertical="center"/>
      <protection hidden="1"/>
    </xf>
    <xf numFmtId="0" fontId="0" fillId="8" borderId="1" xfId="0" applyFill="1" applyBorder="1" applyAlignment="1" applyProtection="1">
      <alignment vertical="center"/>
      <protection locked="0"/>
    </xf>
    <xf numFmtId="0" fontId="5" fillId="8" borderId="1" xfId="0" applyFont="1" applyFill="1" applyBorder="1" applyAlignment="1" applyProtection="1">
      <alignment horizontal="center" vertical="center"/>
      <protection hidden="1"/>
    </xf>
    <xf numFmtId="0" fontId="7" fillId="8" borderId="1" xfId="0" applyFont="1" applyFill="1" applyBorder="1" applyAlignment="1" applyProtection="1">
      <alignment horizontal="center" vertical="center"/>
      <protection hidden="1"/>
    </xf>
    <xf numFmtId="0" fontId="7" fillId="8" borderId="4" xfId="0" applyFont="1" applyFill="1" applyBorder="1" applyAlignment="1" applyProtection="1">
      <alignment horizontal="center" vertical="center"/>
      <protection hidden="1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horizontal="center" vertical="center"/>
      <protection locked="0"/>
    </xf>
    <xf numFmtId="2" fontId="0" fillId="12" borderId="1" xfId="0" applyNumberFormat="1" applyFill="1" applyBorder="1" applyAlignment="1" applyProtection="1">
      <alignment horizontal="center" vertical="center"/>
      <protection locked="0"/>
    </xf>
    <xf numFmtId="2" fontId="0" fillId="12" borderId="4" xfId="0" applyNumberFormat="1" applyFill="1" applyBorder="1" applyAlignment="1" applyProtection="1">
      <alignment horizontal="center" vertical="center"/>
      <protection locked="0"/>
    </xf>
    <xf numFmtId="0" fontId="19" fillId="10" borderId="51" xfId="0" applyFont="1" applyFill="1" applyBorder="1" applyAlignment="1" applyProtection="1">
      <alignment horizontal="left" vertical="center"/>
      <protection hidden="1"/>
    </xf>
    <xf numFmtId="0" fontId="19" fillId="10" borderId="51" xfId="0" applyFont="1" applyFill="1" applyBorder="1" applyAlignment="1" applyProtection="1">
      <alignment vertical="center"/>
      <protection hidden="1"/>
    </xf>
    <xf numFmtId="0" fontId="0" fillId="10" borderId="4" xfId="0" applyFill="1" applyBorder="1" applyAlignment="1" applyProtection="1">
      <alignment horizontal="center" vertical="center"/>
      <protection locked="0"/>
    </xf>
    <xf numFmtId="0" fontId="5" fillId="15" borderId="51" xfId="0" applyFont="1" applyFill="1" applyBorder="1" applyAlignment="1" applyProtection="1">
      <alignment horizontal="left" vertical="center"/>
      <protection hidden="1"/>
    </xf>
    <xf numFmtId="0" fontId="5" fillId="15" borderId="51" xfId="0" applyFont="1" applyFill="1" applyBorder="1" applyAlignment="1" applyProtection="1">
      <alignment vertical="center"/>
      <protection hidden="1"/>
    </xf>
    <xf numFmtId="2" fontId="0" fillId="15" borderId="1" xfId="0" applyNumberFormat="1" applyFill="1" applyBorder="1" applyAlignment="1" applyProtection="1">
      <alignment horizontal="center" vertical="center"/>
      <protection locked="0"/>
    </xf>
    <xf numFmtId="0" fontId="12" fillId="15" borderId="51" xfId="0" applyFont="1" applyFill="1" applyBorder="1" applyAlignment="1" applyProtection="1">
      <alignment vertical="center"/>
      <protection hidden="1"/>
    </xf>
    <xf numFmtId="0" fontId="5" fillId="8" borderId="1" xfId="0" quotePrefix="1" applyFont="1" applyFill="1" applyBorder="1" applyAlignment="1" applyProtection="1">
      <alignment horizontal="center" vertical="center"/>
      <protection hidden="1"/>
    </xf>
    <xf numFmtId="0" fontId="0" fillId="10" borderId="0" xfId="0" applyFill="1" applyBorder="1" applyAlignment="1" applyProtection="1">
      <alignment vertical="center"/>
      <protection hidden="1"/>
    </xf>
    <xf numFmtId="0" fontId="0" fillId="10" borderId="58" xfId="0" applyFill="1" applyBorder="1" applyAlignment="1" applyProtection="1">
      <alignment vertical="center"/>
      <protection hidden="1"/>
    </xf>
    <xf numFmtId="0" fontId="0" fillId="14" borderId="1" xfId="0" applyFill="1" applyBorder="1" applyAlignment="1" applyProtection="1">
      <alignment horizontal="center" vertical="center"/>
      <protection locked="0"/>
    </xf>
    <xf numFmtId="0" fontId="0" fillId="15" borderId="0" xfId="0" applyFill="1" applyBorder="1" applyAlignment="1" applyProtection="1">
      <alignment vertical="center"/>
      <protection hidden="1"/>
    </xf>
    <xf numFmtId="0" fontId="0" fillId="15" borderId="58" xfId="0" applyFill="1" applyBorder="1" applyAlignment="1" applyProtection="1">
      <alignment vertical="center"/>
      <protection hidden="1"/>
    </xf>
    <xf numFmtId="0" fontId="5" fillId="15" borderId="1" xfId="0" applyFont="1" applyFill="1" applyBorder="1" applyAlignment="1" applyProtection="1">
      <alignment horizontal="center" vertical="center"/>
      <protection hidden="1"/>
    </xf>
    <xf numFmtId="2" fontId="5" fillId="15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51" xfId="0" applyFill="1" applyBorder="1" applyAlignment="1" applyProtection="1">
      <alignment vertical="center"/>
      <protection hidden="1"/>
    </xf>
    <xf numFmtId="0" fontId="0" fillId="15" borderId="0" xfId="0" applyFill="1" applyBorder="1" applyAlignment="1" applyProtection="1">
      <alignment horizontal="center" vertical="center"/>
      <protection hidden="1"/>
    </xf>
    <xf numFmtId="0" fontId="5" fillId="10" borderId="1" xfId="0" quotePrefix="1" applyFont="1" applyFill="1" applyBorder="1" applyAlignment="1" applyProtection="1">
      <alignment horizontal="center" vertical="center"/>
      <protection hidden="1"/>
    </xf>
    <xf numFmtId="0" fontId="0" fillId="10" borderId="1" xfId="0" quotePrefix="1" applyFont="1" applyFill="1" applyBorder="1" applyAlignment="1" applyProtection="1">
      <alignment horizontal="center" vertical="center"/>
      <protection hidden="1"/>
    </xf>
    <xf numFmtId="0" fontId="5" fillId="10" borderId="0" xfId="0" quotePrefix="1" applyFont="1" applyFill="1" applyBorder="1" applyAlignment="1" applyProtection="1">
      <alignment horizontal="center" vertical="center"/>
      <protection hidden="1"/>
    </xf>
    <xf numFmtId="0" fontId="0" fillId="10" borderId="0" xfId="0" applyFill="1" applyBorder="1" applyAlignment="1" applyProtection="1">
      <alignment horizontal="center" vertical="center"/>
      <protection hidden="1"/>
    </xf>
    <xf numFmtId="2" fontId="0" fillId="10" borderId="4" xfId="0" applyNumberFormat="1" applyFill="1" applyBorder="1" applyAlignment="1" applyProtection="1">
      <alignment horizontal="center" vertical="center"/>
      <protection locked="0"/>
    </xf>
    <xf numFmtId="0" fontId="5" fillId="10" borderId="51" xfId="0" applyFont="1" applyFill="1" applyBorder="1" applyAlignment="1" applyProtection="1">
      <alignment vertical="center"/>
      <protection hidden="1"/>
    </xf>
    <xf numFmtId="0" fontId="0" fillId="10" borderId="58" xfId="0" applyFill="1" applyBorder="1" applyAlignment="1" applyProtection="1">
      <alignment horizontal="center" vertical="center"/>
      <protection hidden="1"/>
    </xf>
    <xf numFmtId="0" fontId="0" fillId="15" borderId="58" xfId="0" applyFill="1" applyBorder="1" applyAlignment="1" applyProtection="1">
      <alignment horizontal="center" vertical="center"/>
      <protection hidden="1"/>
    </xf>
    <xf numFmtId="0" fontId="5" fillId="0" borderId="1" xfId="0" quotePrefix="1" applyFont="1" applyFill="1" applyBorder="1" applyProtection="1">
      <protection hidden="1"/>
    </xf>
    <xf numFmtId="0" fontId="5" fillId="10" borderId="1" xfId="0" applyFont="1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2" fontId="0" fillId="10" borderId="1" xfId="0" applyNumberFormat="1" applyFill="1" applyBorder="1" applyAlignment="1" applyProtection="1">
      <alignment horizontal="center" vertical="center"/>
      <protection hidden="1"/>
    </xf>
    <xf numFmtId="2" fontId="0" fillId="10" borderId="4" xfId="0" applyNumberFormat="1" applyFill="1" applyBorder="1" applyAlignment="1" applyProtection="1">
      <alignment horizontal="center" vertical="center"/>
      <protection hidden="1"/>
    </xf>
    <xf numFmtId="2" fontId="0" fillId="15" borderId="1" xfId="0" applyNumberFormat="1" applyFill="1" applyBorder="1" applyAlignment="1" applyProtection="1">
      <alignment horizontal="center" vertical="center"/>
      <protection hidden="1"/>
    </xf>
    <xf numFmtId="2" fontId="5" fillId="10" borderId="1" xfId="0" quotePrefix="1" applyNumberFormat="1" applyFont="1" applyFill="1" applyBorder="1" applyAlignment="1" applyProtection="1">
      <alignment horizontal="center" vertical="center"/>
      <protection hidden="1"/>
    </xf>
    <xf numFmtId="0" fontId="19" fillId="10" borderId="0" xfId="0" applyFont="1" applyFill="1" applyBorder="1" applyAlignment="1" applyProtection="1">
      <alignment horizontal="center" vertical="center"/>
      <protection locked="0"/>
    </xf>
    <xf numFmtId="0" fontId="19" fillId="10" borderId="58" xfId="0" applyFont="1" applyFill="1" applyBorder="1" applyAlignment="1" applyProtection="1">
      <alignment horizontal="center" vertical="center"/>
      <protection locked="0"/>
    </xf>
    <xf numFmtId="0" fontId="5" fillId="15" borderId="0" xfId="0" applyFont="1" applyFill="1" applyBorder="1" applyAlignment="1" applyProtection="1">
      <alignment horizontal="center" vertical="center"/>
      <protection locked="0"/>
    </xf>
    <xf numFmtId="0" fontId="0" fillId="8" borderId="39" xfId="0" applyFill="1" applyBorder="1" applyAlignment="1" applyProtection="1">
      <alignment vertical="center"/>
      <protection hidden="1"/>
    </xf>
    <xf numFmtId="0" fontId="4" fillId="8" borderId="40" xfId="0" applyFont="1" applyFill="1" applyBorder="1" applyAlignment="1" applyProtection="1">
      <alignment horizontal="left"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0" fontId="0" fillId="8" borderId="59" xfId="0" applyFill="1" applyBorder="1" applyAlignment="1" applyProtection="1">
      <alignment vertical="center"/>
      <protection hidden="1"/>
    </xf>
    <xf numFmtId="0" fontId="0" fillId="15" borderId="44" xfId="0" applyFill="1" applyBorder="1" applyAlignment="1" applyProtection="1">
      <alignment vertical="center"/>
      <protection hidden="1"/>
    </xf>
    <xf numFmtId="0" fontId="0" fillId="15" borderId="45" xfId="0" applyFill="1" applyBorder="1" applyAlignment="1" applyProtection="1">
      <alignment vertical="center"/>
      <protection hidden="1"/>
    </xf>
    <xf numFmtId="0" fontId="0" fillId="8" borderId="25" xfId="0" applyFill="1" applyBorder="1" applyAlignment="1" applyProtection="1">
      <alignment vertical="center"/>
      <protection locked="0"/>
    </xf>
    <xf numFmtId="0" fontId="5" fillId="15" borderId="4" xfId="0" applyFont="1" applyFill="1" applyBorder="1" applyAlignment="1" applyProtection="1">
      <alignment horizontal="center" vertical="center"/>
      <protection locked="0"/>
    </xf>
    <xf numFmtId="2" fontId="0" fillId="15" borderId="4" xfId="0" applyNumberFormat="1" applyFill="1" applyBorder="1" applyAlignment="1" applyProtection="1">
      <alignment horizontal="center" vertical="center"/>
      <protection hidden="1"/>
    </xf>
    <xf numFmtId="2" fontId="0" fillId="15" borderId="4" xfId="0" applyNumberFormat="1" applyFill="1" applyBorder="1" applyAlignment="1" applyProtection="1">
      <alignment horizontal="center" vertical="center"/>
      <protection locked="0"/>
    </xf>
    <xf numFmtId="0" fontId="0" fillId="15" borderId="4" xfId="0" applyFill="1" applyBorder="1" applyAlignment="1" applyProtection="1">
      <alignment horizontal="center" vertical="center"/>
      <protection locked="0"/>
    </xf>
    <xf numFmtId="0" fontId="5" fillId="15" borderId="4" xfId="0" applyFont="1" applyFill="1" applyBorder="1" applyAlignment="1" applyProtection="1">
      <alignment horizontal="center" vertical="center"/>
      <protection hidden="1"/>
    </xf>
    <xf numFmtId="0" fontId="5" fillId="12" borderId="1" xfId="0" applyFont="1" applyFill="1" applyBorder="1" applyAlignment="1" applyProtection="1">
      <alignment horizontal="center" vertical="center"/>
      <protection locked="0"/>
    </xf>
    <xf numFmtId="2" fontId="0" fillId="12" borderId="0" xfId="0" applyNumberFormat="1" applyFill="1" applyBorder="1" applyAlignment="1" applyProtection="1">
      <alignment horizontal="center" vertical="center"/>
      <protection locked="0"/>
    </xf>
    <xf numFmtId="0" fontId="5" fillId="0" borderId="10" xfId="0" applyFont="1" applyBorder="1" applyProtection="1">
      <protection hidden="1"/>
    </xf>
    <xf numFmtId="0" fontId="0" fillId="0" borderId="10" xfId="0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0" fontId="5" fillId="0" borderId="33" xfId="0" applyFont="1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10" borderId="5" xfId="0" applyFill="1" applyBorder="1" applyProtection="1">
      <protection locked="0"/>
    </xf>
    <xf numFmtId="0" fontId="0" fillId="8" borderId="9" xfId="0" applyFill="1" applyBorder="1" applyProtection="1">
      <protection locked="0"/>
    </xf>
    <xf numFmtId="0" fontId="0" fillId="9" borderId="9" xfId="0" applyFill="1" applyBorder="1" applyProtection="1">
      <protection locked="0"/>
    </xf>
    <xf numFmtId="0" fontId="0" fillId="11" borderId="9" xfId="0" applyFill="1" applyBorder="1" applyProtection="1">
      <protection locked="0"/>
    </xf>
    <xf numFmtId="0" fontId="0" fillId="12" borderId="9" xfId="0" applyFill="1" applyBorder="1" applyProtection="1">
      <protection locked="0"/>
    </xf>
    <xf numFmtId="0" fontId="0" fillId="0" borderId="5" xfId="0" applyBorder="1" applyProtection="1">
      <protection locked="0"/>
    </xf>
    <xf numFmtId="0" fontId="5" fillId="7" borderId="3" xfId="0" applyFont="1" applyFill="1" applyBorder="1" applyProtection="1">
      <protection locked="0"/>
    </xf>
    <xf numFmtId="0" fontId="6" fillId="0" borderId="60" xfId="0" applyFont="1" applyBorder="1" applyAlignment="1" applyProtection="1">
      <alignment horizontal="center"/>
      <protection hidden="1"/>
    </xf>
    <xf numFmtId="0" fontId="7" fillId="0" borderId="61" xfId="0" applyFont="1" applyFill="1" applyBorder="1" applyProtection="1">
      <protection hidden="1"/>
    </xf>
    <xf numFmtId="0" fontId="6" fillId="0" borderId="21" xfId="0" applyFont="1" applyBorder="1" applyProtection="1">
      <protection hidden="1"/>
    </xf>
    <xf numFmtId="0" fontId="7" fillId="0" borderId="21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6" fillId="0" borderId="20" xfId="0" applyFont="1" applyBorder="1" applyProtection="1">
      <protection hidden="1"/>
    </xf>
    <xf numFmtId="0" fontId="6" fillId="0" borderId="7" xfId="0" applyFont="1" applyBorder="1" applyProtection="1">
      <protection hidden="1"/>
    </xf>
    <xf numFmtId="3" fontId="6" fillId="0" borderId="5" xfId="0" applyNumberFormat="1" applyFont="1" applyBorder="1" applyAlignment="1" applyProtection="1">
      <alignment horizontal="center"/>
      <protection hidden="1"/>
    </xf>
    <xf numFmtId="3" fontId="6" fillId="0" borderId="6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Protection="1">
      <protection hidden="1"/>
    </xf>
    <xf numFmtId="2" fontId="7" fillId="0" borderId="22" xfId="0" applyNumberFormat="1" applyFont="1" applyBorder="1" applyProtection="1">
      <protection hidden="1"/>
    </xf>
    <xf numFmtId="2" fontId="7" fillId="0" borderId="5" xfId="0" applyNumberFormat="1" applyFont="1" applyBorder="1" applyProtection="1">
      <protection hidden="1"/>
    </xf>
    <xf numFmtId="2" fontId="7" fillId="0" borderId="6" xfId="0" applyNumberFormat="1" applyFont="1" applyBorder="1" applyProtection="1">
      <protection hidden="1"/>
    </xf>
    <xf numFmtId="164" fontId="7" fillId="0" borderId="20" xfId="0" applyNumberFormat="1" applyFont="1" applyBorder="1" applyProtection="1"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" fontId="7" fillId="0" borderId="22" xfId="0" applyNumberFormat="1" applyFont="1" applyBorder="1" applyAlignment="1" applyProtection="1">
      <alignment horizontal="center"/>
      <protection hidden="1"/>
    </xf>
    <xf numFmtId="164" fontId="7" fillId="0" borderId="7" xfId="0" applyNumberFormat="1" applyFont="1" applyBorder="1" applyProtection="1">
      <protection hidden="1"/>
    </xf>
    <xf numFmtId="2" fontId="7" fillId="0" borderId="5" xfId="0" applyNumberFormat="1" applyFont="1" applyBorder="1" applyAlignment="1" applyProtection="1">
      <alignment horizontal="center"/>
      <protection hidden="1"/>
    </xf>
    <xf numFmtId="2" fontId="7" fillId="0" borderId="6" xfId="0" applyNumberFormat="1" applyFont="1" applyBorder="1" applyAlignment="1" applyProtection="1">
      <alignment horizontal="center"/>
      <protection hidden="1"/>
    </xf>
    <xf numFmtId="0" fontId="7" fillId="9" borderId="54" xfId="0" applyFont="1" applyFill="1" applyBorder="1" applyProtection="1">
      <protection hidden="1"/>
    </xf>
    <xf numFmtId="3" fontId="7" fillId="9" borderId="32" xfId="0" applyNumberFormat="1" applyFont="1" applyFill="1" applyBorder="1" applyAlignment="1" applyProtection="1">
      <alignment horizontal="center"/>
      <protection hidden="1"/>
    </xf>
    <xf numFmtId="0" fontId="7" fillId="9" borderId="23" xfId="0" applyFont="1" applyFill="1" applyBorder="1" applyProtection="1">
      <protection hidden="1"/>
    </xf>
    <xf numFmtId="3" fontId="7" fillId="9" borderId="24" xfId="0" applyNumberFormat="1" applyFont="1" applyFill="1" applyBorder="1" applyAlignment="1" applyProtection="1">
      <alignment horizontal="center"/>
      <protection hidden="1"/>
    </xf>
    <xf numFmtId="0" fontId="7" fillId="9" borderId="61" xfId="0" applyFont="1" applyFill="1" applyBorder="1" applyProtection="1">
      <protection hidden="1"/>
    </xf>
    <xf numFmtId="0" fontId="7" fillId="0" borderId="61" xfId="0" applyFont="1" applyBorder="1" applyProtection="1">
      <protection hidden="1"/>
    </xf>
    <xf numFmtId="0" fontId="7" fillId="9" borderId="36" xfId="0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left" vertical="top"/>
      <protection hidden="1"/>
    </xf>
    <xf numFmtId="0" fontId="7" fillId="0" borderId="29" xfId="0" applyFont="1" applyBorder="1" applyAlignment="1" applyProtection="1">
      <alignment horizontal="center" vertical="top"/>
      <protection hidden="1"/>
    </xf>
    <xf numFmtId="0" fontId="7" fillId="0" borderId="30" xfId="0" applyFont="1" applyBorder="1" applyAlignment="1" applyProtection="1">
      <alignment horizontal="center" vertical="top"/>
      <protection hidden="1"/>
    </xf>
    <xf numFmtId="0" fontId="17" fillId="0" borderId="37" xfId="0" applyFont="1" applyBorder="1" applyAlignment="1" applyProtection="1">
      <alignment horizontal="left" vertical="top"/>
      <protection hidden="1"/>
    </xf>
    <xf numFmtId="0" fontId="20" fillId="0" borderId="37" xfId="0" applyFont="1" applyBorder="1" applyAlignment="1" applyProtection="1">
      <alignment horizontal="left" vertical="top"/>
      <protection hidden="1"/>
    </xf>
    <xf numFmtId="2" fontId="21" fillId="0" borderId="29" xfId="0" applyNumberFormat="1" applyFont="1" applyBorder="1" applyAlignment="1" applyProtection="1">
      <alignment horizontal="center" vertical="top"/>
      <protection hidden="1"/>
    </xf>
    <xf numFmtId="2" fontId="21" fillId="0" borderId="30" xfId="0" applyNumberFormat="1" applyFont="1" applyBorder="1" applyAlignment="1" applyProtection="1">
      <alignment horizontal="center" vertical="top"/>
      <protection hidden="1"/>
    </xf>
    <xf numFmtId="2" fontId="21" fillId="0" borderId="31" xfId="0" applyNumberFormat="1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center" vertical="top"/>
      <protection hidden="1"/>
    </xf>
    <xf numFmtId="2" fontId="22" fillId="0" borderId="29" xfId="0" applyNumberFormat="1" applyFont="1" applyBorder="1" applyAlignment="1" applyProtection="1">
      <alignment horizontal="center" vertical="top"/>
      <protection hidden="1"/>
    </xf>
    <xf numFmtId="2" fontId="22" fillId="0" borderId="30" xfId="0" applyNumberFormat="1" applyFont="1" applyBorder="1" applyAlignment="1" applyProtection="1">
      <alignment horizontal="center" vertical="top"/>
      <protection hidden="1"/>
    </xf>
    <xf numFmtId="2" fontId="22" fillId="0" borderId="31" xfId="0" applyNumberFormat="1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62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7" fillId="16" borderId="60" xfId="0" applyFont="1" applyFill="1" applyBorder="1" applyAlignment="1" applyProtection="1">
      <alignment horizontal="left" vertical="top"/>
      <protection hidden="1"/>
    </xf>
    <xf numFmtId="2" fontId="0" fillId="16" borderId="32" xfId="0" applyNumberFormat="1" applyFill="1" applyBorder="1" applyAlignment="1" applyProtection="1">
      <alignment horizontal="center" vertical="top"/>
      <protection hidden="1"/>
    </xf>
    <xf numFmtId="2" fontId="0" fillId="16" borderId="46" xfId="0" applyNumberFormat="1" applyFill="1" applyBorder="1" applyAlignment="1" applyProtection="1">
      <alignment horizontal="center" vertical="top"/>
      <protection hidden="1"/>
    </xf>
    <xf numFmtId="2" fontId="0" fillId="16" borderId="60" xfId="0" applyNumberFormat="1" applyFill="1" applyBorder="1" applyAlignment="1" applyProtection="1">
      <alignment horizontal="center" vertical="top"/>
      <protection hidden="1"/>
    </xf>
    <xf numFmtId="0" fontId="7" fillId="16" borderId="8" xfId="0" applyFont="1" applyFill="1" applyBorder="1" applyAlignment="1" applyProtection="1">
      <alignment horizontal="left" vertical="top"/>
      <protection hidden="1"/>
    </xf>
    <xf numFmtId="2" fontId="0" fillId="16" borderId="3" xfId="0" applyNumberFormat="1" applyFill="1" applyBorder="1" applyAlignment="1" applyProtection="1">
      <alignment horizontal="center" vertical="top"/>
      <protection hidden="1"/>
    </xf>
    <xf numFmtId="2" fontId="0" fillId="16" borderId="1" xfId="0" applyNumberFormat="1" applyFill="1" applyBorder="1" applyAlignment="1" applyProtection="1">
      <alignment horizontal="center" vertical="top"/>
      <protection hidden="1"/>
    </xf>
    <xf numFmtId="2" fontId="0" fillId="16" borderId="8" xfId="0" applyNumberFormat="1" applyFill="1" applyBorder="1" applyAlignment="1" applyProtection="1">
      <alignment horizontal="center" vertical="top"/>
      <protection hidden="1"/>
    </xf>
    <xf numFmtId="0" fontId="7" fillId="17" borderId="8" xfId="0" applyFont="1" applyFill="1" applyBorder="1" applyAlignment="1" applyProtection="1">
      <alignment horizontal="left" vertical="top"/>
      <protection hidden="1"/>
    </xf>
    <xf numFmtId="2" fontId="0" fillId="17" borderId="3" xfId="0" applyNumberFormat="1" applyFill="1" applyBorder="1" applyAlignment="1" applyProtection="1">
      <alignment horizontal="center" vertical="top"/>
      <protection hidden="1"/>
    </xf>
    <xf numFmtId="2" fontId="0" fillId="17" borderId="1" xfId="0" applyNumberFormat="1" applyFill="1" applyBorder="1" applyAlignment="1" applyProtection="1">
      <alignment horizontal="center" vertical="top"/>
      <protection hidden="1"/>
    </xf>
    <xf numFmtId="2" fontId="0" fillId="17" borderId="8" xfId="0" applyNumberFormat="1" applyFill="1" applyBorder="1" applyAlignment="1" applyProtection="1">
      <alignment horizontal="center" vertical="top"/>
      <protection hidden="1"/>
    </xf>
    <xf numFmtId="0" fontId="7" fillId="17" borderId="2" xfId="0" applyFont="1" applyFill="1" applyBorder="1" applyAlignment="1" applyProtection="1">
      <alignment horizontal="left" vertical="top"/>
      <protection hidden="1"/>
    </xf>
    <xf numFmtId="2" fontId="0" fillId="17" borderId="24" xfId="0" applyNumberFormat="1" applyFill="1" applyBorder="1" applyAlignment="1" applyProtection="1">
      <alignment horizontal="center" vertical="top"/>
      <protection hidden="1"/>
    </xf>
    <xf numFmtId="2" fontId="0" fillId="17" borderId="25" xfId="0" applyNumberFormat="1" applyFill="1" applyBorder="1" applyAlignment="1" applyProtection="1">
      <alignment horizontal="center" vertical="top"/>
      <protection hidden="1"/>
    </xf>
    <xf numFmtId="2" fontId="0" fillId="17" borderId="2" xfId="0" applyNumberFormat="1" applyFill="1" applyBorder="1" applyAlignment="1" applyProtection="1">
      <alignment horizontal="center" vertical="top"/>
      <protection hidden="1"/>
    </xf>
    <xf numFmtId="165" fontId="15" fillId="16" borderId="10" xfId="1" applyNumberFormat="1" applyFont="1" applyFill="1" applyBorder="1" applyAlignment="1" applyProtection="1">
      <alignment horizontal="center"/>
      <protection hidden="1"/>
    </xf>
    <xf numFmtId="0" fontId="7" fillId="16" borderId="2" xfId="0" applyFont="1" applyFill="1" applyBorder="1" applyAlignment="1" applyProtection="1">
      <alignment horizontal="left" vertical="top"/>
      <protection hidden="1"/>
    </xf>
    <xf numFmtId="2" fontId="0" fillId="16" borderId="24" xfId="0" applyNumberFormat="1" applyFill="1" applyBorder="1" applyAlignment="1" applyProtection="1">
      <alignment horizontal="center" vertical="top"/>
      <protection hidden="1"/>
    </xf>
    <xf numFmtId="2" fontId="0" fillId="16" borderId="25" xfId="0" applyNumberFormat="1" applyFill="1" applyBorder="1" applyAlignment="1" applyProtection="1">
      <alignment horizontal="center" vertical="top"/>
      <protection hidden="1"/>
    </xf>
    <xf numFmtId="2" fontId="0" fillId="16" borderId="2" xfId="0" applyNumberFormat="1" applyFill="1" applyBorder="1" applyAlignment="1" applyProtection="1">
      <alignment horizontal="center" vertical="top"/>
      <protection hidden="1"/>
    </xf>
    <xf numFmtId="165" fontId="15" fillId="16" borderId="33" xfId="1" applyNumberFormat="1" applyFont="1" applyFill="1" applyBorder="1" applyAlignment="1" applyProtection="1">
      <alignment horizontal="center"/>
      <protection hidden="1"/>
    </xf>
    <xf numFmtId="0" fontId="7" fillId="17" borderId="60" xfId="0" applyFont="1" applyFill="1" applyBorder="1" applyAlignment="1" applyProtection="1">
      <alignment horizontal="left" vertical="top"/>
      <protection hidden="1"/>
    </xf>
    <xf numFmtId="2" fontId="0" fillId="17" borderId="32" xfId="0" applyNumberFormat="1" applyFill="1" applyBorder="1" applyAlignment="1" applyProtection="1">
      <alignment horizontal="center" vertical="top"/>
      <protection hidden="1"/>
    </xf>
    <xf numFmtId="2" fontId="0" fillId="17" borderId="46" xfId="0" applyNumberFormat="1" applyFill="1" applyBorder="1" applyAlignment="1" applyProtection="1">
      <alignment horizontal="center" vertical="top"/>
      <protection hidden="1"/>
    </xf>
    <xf numFmtId="2" fontId="0" fillId="17" borderId="60" xfId="0" applyNumberFormat="1" applyFill="1" applyBorder="1" applyAlignment="1" applyProtection="1">
      <alignment horizontal="center" vertical="top"/>
      <protection hidden="1"/>
    </xf>
    <xf numFmtId="165" fontId="15" fillId="17" borderId="54" xfId="1" applyNumberFormat="1" applyFont="1" applyFill="1" applyBorder="1" applyAlignment="1" applyProtection="1">
      <alignment horizontal="center"/>
      <protection hidden="1"/>
    </xf>
    <xf numFmtId="165" fontId="15" fillId="17" borderId="10" xfId="1" applyNumberFormat="1" applyFont="1" applyFill="1" applyBorder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top"/>
      <protection hidden="1"/>
    </xf>
    <xf numFmtId="165" fontId="15" fillId="16" borderId="61" xfId="1" applyNumberFormat="1" applyFont="1" applyFill="1" applyBorder="1" applyAlignment="1" applyProtection="1">
      <alignment horizontal="center" vertical="top"/>
      <protection hidden="1"/>
    </xf>
    <xf numFmtId="165" fontId="15" fillId="16" borderId="35" xfId="1" applyNumberFormat="1" applyFont="1" applyFill="1" applyBorder="1" applyAlignment="1" applyProtection="1">
      <alignment horizontal="center" vertical="top"/>
      <protection hidden="1"/>
    </xf>
    <xf numFmtId="165" fontId="15" fillId="17" borderId="35" xfId="1" applyNumberFormat="1" applyFont="1" applyFill="1" applyBorder="1" applyAlignment="1" applyProtection="1">
      <alignment horizontal="center" vertical="top"/>
      <protection hidden="1"/>
    </xf>
    <xf numFmtId="165" fontId="15" fillId="17" borderId="28" xfId="1" applyNumberFormat="1" applyFont="1" applyFill="1" applyBorder="1" applyAlignment="1" applyProtection="1">
      <alignment horizontal="center" vertical="top"/>
      <protection hidden="1"/>
    </xf>
    <xf numFmtId="0" fontId="7" fillId="0" borderId="14" xfId="0" applyFont="1" applyBorder="1" applyAlignment="1" applyProtection="1">
      <alignment horizontal="center" vertical="top"/>
      <protection hidden="1"/>
    </xf>
    <xf numFmtId="2" fontId="0" fillId="16" borderId="54" xfId="0" applyNumberFormat="1" applyFill="1" applyBorder="1" applyAlignment="1" applyProtection="1">
      <alignment horizontal="center" vertical="top"/>
      <protection hidden="1"/>
    </xf>
    <xf numFmtId="2" fontId="0" fillId="16" borderId="10" xfId="0" applyNumberFormat="1" applyFill="1" applyBorder="1" applyAlignment="1" applyProtection="1">
      <alignment horizontal="center" vertical="top"/>
      <protection hidden="1"/>
    </xf>
    <xf numFmtId="2" fontId="0" fillId="17" borderId="10" xfId="0" applyNumberFormat="1" applyFill="1" applyBorder="1" applyAlignment="1" applyProtection="1">
      <alignment horizontal="center" vertical="top"/>
      <protection hidden="1"/>
    </xf>
    <xf numFmtId="2" fontId="0" fillId="17" borderId="23" xfId="0" applyNumberFormat="1" applyFill="1" applyBorder="1" applyAlignment="1" applyProtection="1">
      <alignment horizontal="center" vertical="top"/>
      <protection hidden="1"/>
    </xf>
    <xf numFmtId="2" fontId="21" fillId="0" borderId="14" xfId="0" applyNumberFormat="1" applyFont="1" applyBorder="1" applyAlignment="1" applyProtection="1">
      <alignment horizontal="center" vertical="top"/>
      <protection hidden="1"/>
    </xf>
    <xf numFmtId="0" fontId="5" fillId="0" borderId="37" xfId="0" applyFont="1" applyBorder="1" applyAlignment="1" applyProtection="1">
      <alignment horizontal="center"/>
      <protection hidden="1"/>
    </xf>
    <xf numFmtId="165" fontId="15" fillId="16" borderId="61" xfId="1" applyNumberFormat="1" applyFont="1" applyFill="1" applyBorder="1" applyAlignment="1" applyProtection="1">
      <alignment horizontal="center"/>
      <protection hidden="1"/>
    </xf>
    <xf numFmtId="165" fontId="15" fillId="16" borderId="35" xfId="1" applyNumberFormat="1" applyFont="1" applyFill="1" applyBorder="1" applyAlignment="1" applyProtection="1">
      <alignment horizontal="center"/>
      <protection hidden="1"/>
    </xf>
    <xf numFmtId="165" fontId="15" fillId="17" borderId="35" xfId="1" applyNumberFormat="1" applyFont="1" applyFill="1" applyBorder="1" applyAlignment="1" applyProtection="1">
      <alignment horizontal="center"/>
      <protection hidden="1"/>
    </xf>
    <xf numFmtId="165" fontId="15" fillId="17" borderId="28" xfId="1" applyNumberFormat="1" applyFont="1" applyFill="1" applyBorder="1" applyAlignment="1" applyProtection="1">
      <alignment horizontal="center"/>
      <protection hidden="1"/>
    </xf>
    <xf numFmtId="165" fontId="15" fillId="17" borderId="61" xfId="1" applyNumberFormat="1" applyFont="1" applyFill="1" applyBorder="1" applyAlignment="1" applyProtection="1">
      <alignment horizontal="center"/>
      <protection hidden="1"/>
    </xf>
    <xf numFmtId="165" fontId="15" fillId="16" borderId="28" xfId="1" applyNumberFormat="1" applyFont="1" applyFill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left" vertical="top"/>
      <protection hidden="1"/>
    </xf>
    <xf numFmtId="0" fontId="7" fillId="16" borderId="54" xfId="0" applyFont="1" applyFill="1" applyBorder="1" applyAlignment="1" applyProtection="1">
      <alignment horizontal="left" vertical="top"/>
      <protection hidden="1"/>
    </xf>
    <xf numFmtId="0" fontId="7" fillId="16" borderId="10" xfId="0" applyFont="1" applyFill="1" applyBorder="1" applyAlignment="1" applyProtection="1">
      <alignment horizontal="left" vertical="top"/>
      <protection hidden="1"/>
    </xf>
    <xf numFmtId="0" fontId="7" fillId="17" borderId="10" xfId="0" applyFont="1" applyFill="1" applyBorder="1" applyAlignment="1" applyProtection="1">
      <alignment horizontal="left" vertical="top"/>
      <protection hidden="1"/>
    </xf>
    <xf numFmtId="0" fontId="17" fillId="0" borderId="14" xfId="0" applyFont="1" applyBorder="1" applyAlignment="1" applyProtection="1">
      <alignment horizontal="left" vertical="top"/>
      <protection hidden="1"/>
    </xf>
    <xf numFmtId="0" fontId="7" fillId="17" borderId="54" xfId="0" applyFont="1" applyFill="1" applyBorder="1" applyAlignment="1" applyProtection="1">
      <alignment horizontal="left" vertical="top"/>
      <protection hidden="1"/>
    </xf>
    <xf numFmtId="0" fontId="20" fillId="0" borderId="14" xfId="0" applyFont="1" applyBorder="1" applyAlignment="1" applyProtection="1">
      <alignment horizontal="left" vertical="top"/>
      <protection hidden="1"/>
    </xf>
    <xf numFmtId="1" fontId="0" fillId="16" borderId="10" xfId="0" applyNumberFormat="1" applyFill="1" applyBorder="1"/>
    <xf numFmtId="1" fontId="0" fillId="17" borderId="10" xfId="0" applyNumberFormat="1" applyFill="1" applyBorder="1"/>
    <xf numFmtId="1" fontId="0" fillId="17" borderId="23" xfId="0" applyNumberFormat="1" applyFill="1" applyBorder="1"/>
    <xf numFmtId="1" fontId="0" fillId="0" borderId="14" xfId="0" applyNumberFormat="1" applyBorder="1"/>
    <xf numFmtId="1" fontId="0" fillId="17" borderId="54" xfId="0" applyNumberFormat="1" applyFill="1" applyBorder="1"/>
    <xf numFmtId="1" fontId="0" fillId="16" borderId="23" xfId="0" applyNumberFormat="1" applyFill="1" applyBorder="1"/>
    <xf numFmtId="0" fontId="0" fillId="9" borderId="1" xfId="0" applyFill="1" applyBorder="1" applyProtection="1">
      <protection hidden="1"/>
    </xf>
    <xf numFmtId="0" fontId="0" fillId="17" borderId="1" xfId="0" applyFill="1" applyBorder="1" applyProtection="1">
      <protection hidden="1"/>
    </xf>
    <xf numFmtId="0" fontId="0" fillId="10" borderId="12" xfId="0" applyFill="1" applyBorder="1" applyProtection="1">
      <protection hidden="1"/>
    </xf>
    <xf numFmtId="0" fontId="5" fillId="0" borderId="8" xfId="0" applyFont="1" applyBorder="1" applyProtection="1">
      <protection hidden="1"/>
    </xf>
    <xf numFmtId="0" fontId="0" fillId="0" borderId="12" xfId="0" applyBorder="1" applyProtection="1">
      <protection hidden="1"/>
    </xf>
    <xf numFmtId="0" fontId="5" fillId="10" borderId="0" xfId="0" applyFont="1" applyFill="1" applyProtection="1">
      <protection hidden="1"/>
    </xf>
    <xf numFmtId="0" fontId="5" fillId="8" borderId="1" xfId="0" applyFont="1" applyFill="1" applyBorder="1" applyProtection="1">
      <protection hidden="1"/>
    </xf>
    <xf numFmtId="0" fontId="7" fillId="9" borderId="1" xfId="0" applyFont="1" applyFill="1" applyBorder="1" applyProtection="1">
      <protection hidden="1"/>
    </xf>
    <xf numFmtId="0" fontId="0" fillId="8" borderId="1" xfId="0" applyFill="1" applyBorder="1" applyProtection="1">
      <protection hidden="1"/>
    </xf>
    <xf numFmtId="0" fontId="0" fillId="18" borderId="51" xfId="0" applyFill="1" applyBorder="1" applyProtection="1">
      <protection hidden="1"/>
    </xf>
    <xf numFmtId="0" fontId="0" fillId="18" borderId="58" xfId="0" applyFill="1" applyBorder="1" applyProtection="1">
      <protection hidden="1"/>
    </xf>
    <xf numFmtId="0" fontId="0" fillId="18" borderId="0" xfId="0" applyFill="1" applyBorder="1" applyProtection="1">
      <protection hidden="1"/>
    </xf>
    <xf numFmtId="0" fontId="0" fillId="18" borderId="43" xfId="0" applyFill="1" applyBorder="1" applyProtection="1">
      <protection hidden="1"/>
    </xf>
    <xf numFmtId="0" fontId="0" fillId="18" borderId="44" xfId="0" applyFill="1" applyBorder="1" applyProtection="1">
      <protection hidden="1"/>
    </xf>
    <xf numFmtId="0" fontId="0" fillId="18" borderId="45" xfId="0" applyFill="1" applyBorder="1" applyProtection="1">
      <protection hidden="1"/>
    </xf>
    <xf numFmtId="0" fontId="0" fillId="19" borderId="51" xfId="0" applyFill="1" applyBorder="1" applyProtection="1">
      <protection hidden="1"/>
    </xf>
    <xf numFmtId="0" fontId="0" fillId="19" borderId="0" xfId="0" applyFill="1" applyBorder="1" applyProtection="1">
      <protection hidden="1"/>
    </xf>
    <xf numFmtId="3" fontId="0" fillId="19" borderId="1" xfId="0" applyNumberFormat="1" applyFill="1" applyBorder="1" applyAlignment="1" applyProtection="1">
      <alignment horizontal="center" vertical="top"/>
      <protection hidden="1"/>
    </xf>
    <xf numFmtId="3" fontId="5" fillId="19" borderId="1" xfId="0" quotePrefix="1" applyNumberFormat="1" applyFont="1" applyFill="1" applyBorder="1" applyAlignment="1" applyProtection="1">
      <alignment horizontal="center" vertical="top"/>
      <protection hidden="1"/>
    </xf>
    <xf numFmtId="0" fontId="2" fillId="19" borderId="44" xfId="0" applyFont="1" applyFill="1" applyBorder="1" applyProtection="1">
      <protection hidden="1"/>
    </xf>
    <xf numFmtId="0" fontId="0" fillId="19" borderId="44" xfId="0" applyFill="1" applyBorder="1" applyProtection="1">
      <protection hidden="1"/>
    </xf>
    <xf numFmtId="0" fontId="0" fillId="19" borderId="45" xfId="0" applyFill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48" xfId="0" applyFont="1" applyBorder="1" applyProtection="1">
      <protection hidden="1"/>
    </xf>
    <xf numFmtId="0" fontId="5" fillId="19" borderId="20" xfId="0" applyFont="1" applyFill="1" applyBorder="1" applyProtection="1">
      <protection hidden="1"/>
    </xf>
    <xf numFmtId="3" fontId="0" fillId="19" borderId="21" xfId="0" applyNumberFormat="1" applyFill="1" applyBorder="1" applyAlignment="1" applyProtection="1">
      <alignment horizontal="center" vertical="top"/>
      <protection hidden="1"/>
    </xf>
    <xf numFmtId="2" fontId="0" fillId="19" borderId="22" xfId="0" applyNumberFormat="1" applyFill="1" applyBorder="1" applyAlignment="1" applyProtection="1">
      <alignment horizontal="center" vertical="center"/>
      <protection hidden="1"/>
    </xf>
    <xf numFmtId="0" fontId="5" fillId="19" borderId="3" xfId="0" applyFont="1" applyFill="1" applyBorder="1" applyProtection="1">
      <protection hidden="1"/>
    </xf>
    <xf numFmtId="2" fontId="0" fillId="19" borderId="4" xfId="0" applyNumberFormat="1" applyFill="1" applyBorder="1" applyAlignment="1" applyProtection="1">
      <alignment horizontal="center" vertical="center"/>
      <protection hidden="1"/>
    </xf>
    <xf numFmtId="0" fontId="0" fillId="19" borderId="7" xfId="0" applyFill="1" applyBorder="1" applyProtection="1">
      <protection hidden="1"/>
    </xf>
    <xf numFmtId="3" fontId="0" fillId="19" borderId="5" xfId="0" applyNumberFormat="1" applyFill="1" applyBorder="1" applyAlignment="1" applyProtection="1">
      <alignment horizontal="center" vertical="top"/>
      <protection hidden="1"/>
    </xf>
    <xf numFmtId="2" fontId="0" fillId="19" borderId="6" xfId="0" applyNumberFormat="1" applyFill="1" applyBorder="1" applyAlignment="1" applyProtection="1">
      <alignment horizontal="center" vertical="center"/>
      <protection hidden="1"/>
    </xf>
    <xf numFmtId="0" fontId="5" fillId="19" borderId="29" xfId="0" applyFont="1" applyFill="1" applyBorder="1" applyAlignment="1" applyProtection="1">
      <alignment horizontal="center" vertical="top" wrapText="1"/>
      <protection hidden="1"/>
    </xf>
    <xf numFmtId="0" fontId="5" fillId="19" borderId="30" xfId="0" applyFont="1" applyFill="1" applyBorder="1" applyAlignment="1" applyProtection="1">
      <alignment horizontal="center" vertical="top" wrapText="1"/>
      <protection hidden="1"/>
    </xf>
    <xf numFmtId="0" fontId="5" fillId="19" borderId="31" xfId="0" applyFont="1" applyFill="1" applyBorder="1" applyAlignment="1" applyProtection="1">
      <alignment horizontal="center" vertical="center" wrapText="1"/>
      <protection hidden="1"/>
    </xf>
    <xf numFmtId="0" fontId="0" fillId="18" borderId="51" xfId="0" applyFill="1" applyBorder="1" applyAlignment="1" applyProtection="1">
      <alignment vertical="center"/>
      <protection hidden="1"/>
    </xf>
    <xf numFmtId="2" fontId="0" fillId="18" borderId="1" xfId="0" applyNumberFormat="1" applyFill="1" applyBorder="1" applyAlignment="1" applyProtection="1">
      <alignment horizontal="center" vertical="center"/>
      <protection hidden="1"/>
    </xf>
    <xf numFmtId="0" fontId="4" fillId="18" borderId="47" xfId="0" applyFont="1" applyFill="1" applyBorder="1" applyAlignment="1" applyProtection="1">
      <alignment horizontal="center" vertical="center"/>
      <protection hidden="1"/>
    </xf>
    <xf numFmtId="0" fontId="4" fillId="18" borderId="47" xfId="0" applyFont="1" applyFill="1" applyBorder="1" applyAlignment="1" applyProtection="1">
      <alignment horizontal="left" vertical="center"/>
      <protection hidden="1"/>
    </xf>
    <xf numFmtId="2" fontId="5" fillId="18" borderId="1" xfId="0" quotePrefix="1" applyNumberFormat="1" applyFont="1" applyFill="1" applyBorder="1" applyAlignment="1" applyProtection="1">
      <alignment horizontal="center" vertical="center"/>
      <protection hidden="1"/>
    </xf>
    <xf numFmtId="2" fontId="0" fillId="18" borderId="25" xfId="0" applyNumberFormat="1" applyFill="1" applyBorder="1" applyAlignment="1" applyProtection="1">
      <alignment horizontal="center" vertical="center"/>
      <protection hidden="1"/>
    </xf>
    <xf numFmtId="0" fontId="4" fillId="18" borderId="1" xfId="0" applyFont="1" applyFill="1" applyBorder="1" applyAlignment="1" applyProtection="1">
      <alignment horizontal="center" vertical="center"/>
      <protection hidden="1"/>
    </xf>
    <xf numFmtId="2" fontId="0" fillId="18" borderId="1" xfId="0" applyNumberFormat="1" applyFill="1" applyBorder="1" applyAlignment="1" applyProtection="1">
      <alignment horizontal="center"/>
      <protection hidden="1"/>
    </xf>
    <xf numFmtId="0" fontId="5" fillId="18" borderId="3" xfId="0" applyFont="1" applyFill="1" applyBorder="1" applyProtection="1">
      <protection hidden="1"/>
    </xf>
    <xf numFmtId="2" fontId="0" fillId="18" borderId="4" xfId="0" applyNumberFormat="1" applyFill="1" applyBorder="1" applyAlignment="1" applyProtection="1">
      <alignment horizontal="center" vertical="center"/>
      <protection hidden="1"/>
    </xf>
    <xf numFmtId="0" fontId="0" fillId="18" borderId="0" xfId="0" applyFill="1" applyBorder="1" applyAlignment="1" applyProtection="1">
      <alignment horizontal="center" vertical="center"/>
      <protection hidden="1"/>
    </xf>
    <xf numFmtId="0" fontId="0" fillId="18" borderId="58" xfId="0" applyFill="1" applyBorder="1" applyAlignment="1" applyProtection="1">
      <alignment horizontal="center" vertical="center"/>
      <protection hidden="1"/>
    </xf>
    <xf numFmtId="0" fontId="5" fillId="18" borderId="35" xfId="0" applyFont="1" applyFill="1" applyBorder="1" applyProtection="1">
      <protection hidden="1"/>
    </xf>
    <xf numFmtId="0" fontId="21" fillId="18" borderId="51" xfId="0" applyFont="1" applyFill="1" applyBorder="1" applyProtection="1">
      <protection hidden="1"/>
    </xf>
    <xf numFmtId="0" fontId="21" fillId="18" borderId="0" xfId="0" applyFont="1" applyFill="1" applyBorder="1" applyProtection="1">
      <protection hidden="1"/>
    </xf>
    <xf numFmtId="0" fontId="21" fillId="18" borderId="0" xfId="0" applyFont="1" applyFill="1" applyBorder="1" applyAlignment="1" applyProtection="1">
      <alignment horizontal="center" vertical="center"/>
      <protection hidden="1"/>
    </xf>
    <xf numFmtId="3" fontId="23" fillId="18" borderId="1" xfId="0" applyNumberFormat="1" applyFont="1" applyFill="1" applyBorder="1" applyAlignment="1" applyProtection="1">
      <alignment horizontal="center" vertical="center"/>
      <protection hidden="1"/>
    </xf>
    <xf numFmtId="2" fontId="23" fillId="18" borderId="1" xfId="0" applyNumberFormat="1" applyFont="1" applyFill="1" applyBorder="1" applyAlignment="1" applyProtection="1">
      <alignment horizontal="center" vertical="center"/>
      <protection hidden="1"/>
    </xf>
    <xf numFmtId="2" fontId="0" fillId="15" borderId="8" xfId="0" applyNumberFormat="1" applyFill="1" applyBorder="1" applyAlignment="1" applyProtection="1">
      <alignment horizontal="center" vertical="center"/>
      <protection locked="0"/>
    </xf>
    <xf numFmtId="2" fontId="0" fillId="15" borderId="25" xfId="0" applyNumberFormat="1" applyFill="1" applyBorder="1" applyAlignment="1" applyProtection="1">
      <alignment horizontal="center" vertical="center"/>
      <protection hidden="1"/>
    </xf>
    <xf numFmtId="2" fontId="0" fillId="15" borderId="0" xfId="0" applyNumberFormat="1" applyFill="1" applyBorder="1" applyAlignment="1" applyProtection="1">
      <alignment horizontal="center" vertical="center"/>
      <protection hidden="1"/>
    </xf>
    <xf numFmtId="0" fontId="5" fillId="15" borderId="0" xfId="0" quotePrefix="1" applyFont="1" applyFill="1" applyBorder="1" applyAlignment="1" applyProtection="1">
      <alignment horizontal="center" vertical="center"/>
      <protection hidden="1"/>
    </xf>
    <xf numFmtId="0" fontId="0" fillId="15" borderId="0" xfId="0" quotePrefix="1" applyFont="1" applyFill="1" applyBorder="1" applyAlignment="1" applyProtection="1">
      <alignment horizontal="center" vertical="center"/>
      <protection hidden="1"/>
    </xf>
    <xf numFmtId="0" fontId="21" fillId="18" borderId="0" xfId="0" applyFont="1" applyFill="1" applyBorder="1" applyAlignment="1" applyProtection="1">
      <alignment vertical="center"/>
      <protection hidden="1"/>
    </xf>
    <xf numFmtId="0" fontId="21" fillId="18" borderId="0" xfId="0" applyFont="1" applyFill="1" applyBorder="1" applyAlignment="1" applyProtection="1">
      <alignment horizontal="right" vertical="center"/>
      <protection hidden="1"/>
    </xf>
    <xf numFmtId="2" fontId="21" fillId="18" borderId="0" xfId="0" applyNumberFormat="1" applyFont="1" applyFill="1" applyBorder="1" applyAlignment="1" applyProtection="1">
      <alignment vertical="center"/>
      <protection hidden="1"/>
    </xf>
    <xf numFmtId="2" fontId="0" fillId="0" borderId="0" xfId="0" applyNumberFormat="1" applyProtection="1">
      <protection hidden="1"/>
    </xf>
    <xf numFmtId="0" fontId="0" fillId="0" borderId="8" xfId="0" applyBorder="1"/>
    <xf numFmtId="0" fontId="0" fillId="0" borderId="48" xfId="0" applyBorder="1"/>
    <xf numFmtId="0" fontId="0" fillId="0" borderId="12" xfId="0" applyBorder="1"/>
    <xf numFmtId="0" fontId="5" fillId="0" borderId="8" xfId="0" applyFont="1" applyBorder="1"/>
    <xf numFmtId="3" fontId="5" fillId="19" borderId="1" xfId="0" applyNumberFormat="1" applyFont="1" applyFill="1" applyBorder="1" applyAlignment="1" applyProtection="1">
      <alignment horizontal="center" vertical="top"/>
      <protection hidden="1"/>
    </xf>
    <xf numFmtId="0" fontId="0" fillId="9" borderId="1" xfId="0" applyFill="1" applyBorder="1" applyAlignment="1" applyProtection="1">
      <alignment horizontal="center" vertical="center"/>
      <protection hidden="1"/>
    </xf>
    <xf numFmtId="0" fontId="0" fillId="9" borderId="1" xfId="0" applyFill="1" applyBorder="1" applyAlignment="1">
      <alignment horizontal="center" vertical="center"/>
    </xf>
    <xf numFmtId="0" fontId="5" fillId="9" borderId="1" xfId="0" applyFont="1" applyFill="1" applyBorder="1" applyAlignment="1" applyProtection="1">
      <alignment horizontal="center" vertical="center"/>
      <protection hidden="1"/>
    </xf>
    <xf numFmtId="0" fontId="0" fillId="19" borderId="1" xfId="0" applyFill="1" applyBorder="1" applyAlignment="1" applyProtection="1">
      <alignment horizontal="center" vertical="center"/>
      <protection hidden="1"/>
    </xf>
    <xf numFmtId="0" fontId="5" fillId="19" borderId="1" xfId="0" applyFont="1" applyFill="1" applyBorder="1" applyAlignment="1" applyProtection="1">
      <alignment horizontal="center" vertical="center"/>
      <protection hidden="1"/>
    </xf>
    <xf numFmtId="0" fontId="0" fillId="19" borderId="1" xfId="0" applyFill="1" applyBorder="1" applyAlignment="1">
      <alignment horizontal="center" vertical="center"/>
    </xf>
    <xf numFmtId="0" fontId="0" fillId="17" borderId="1" xfId="0" applyFill="1" applyBorder="1" applyAlignment="1" applyProtection="1">
      <alignment horizontal="center" vertical="center"/>
      <protection hidden="1"/>
    </xf>
    <xf numFmtId="0" fontId="5" fillId="17" borderId="1" xfId="0" applyFont="1" applyFill="1" applyBorder="1" applyAlignment="1" applyProtection="1">
      <alignment horizontal="center" vertical="center"/>
      <protection hidden="1"/>
    </xf>
    <xf numFmtId="0" fontId="0" fillId="17" borderId="1" xfId="0" applyFill="1" applyBorder="1" applyAlignment="1">
      <alignment horizontal="center" vertical="center"/>
    </xf>
    <xf numFmtId="0" fontId="0" fillId="18" borderId="1" xfId="0" applyFill="1" applyBorder="1"/>
    <xf numFmtId="0" fontId="0" fillId="18" borderId="1" xfId="0" applyFill="1" applyBorder="1" applyProtection="1">
      <protection hidden="1"/>
    </xf>
    <xf numFmtId="164" fontId="0" fillId="18" borderId="1" xfId="0" applyNumberFormat="1" applyFill="1" applyBorder="1" applyProtection="1">
      <protection hidden="1"/>
    </xf>
    <xf numFmtId="0" fontId="0" fillId="11" borderId="1" xfId="0" applyFill="1" applyBorder="1"/>
    <xf numFmtId="0" fontId="0" fillId="11" borderId="1" xfId="0" applyFill="1" applyBorder="1" applyProtection="1">
      <protection hidden="1"/>
    </xf>
    <xf numFmtId="165" fontId="4" fillId="8" borderId="1" xfId="1" applyNumberFormat="1" applyFont="1" applyFill="1" applyBorder="1" applyAlignment="1" applyProtection="1">
      <alignment horizontal="center" vertical="center"/>
      <protection hidden="1"/>
    </xf>
    <xf numFmtId="165" fontId="4" fillId="8" borderId="4" xfId="1" applyNumberFormat="1" applyFont="1" applyFill="1" applyBorder="1" applyAlignment="1" applyProtection="1">
      <alignment horizontal="center" vertical="center"/>
      <protection hidden="1"/>
    </xf>
    <xf numFmtId="0" fontId="4" fillId="8" borderId="40" xfId="0" applyFont="1" applyFill="1" applyBorder="1" applyAlignment="1" applyProtection="1">
      <alignment horizontal="center" vertical="center" wrapText="1"/>
      <protection hidden="1"/>
    </xf>
    <xf numFmtId="3" fontId="0" fillId="19" borderId="44" xfId="0" applyNumberFormat="1" applyFill="1" applyBorder="1" applyAlignment="1" applyProtection="1">
      <alignment horizontal="center" vertical="center"/>
      <protection hidden="1"/>
    </xf>
    <xf numFmtId="0" fontId="0" fillId="19" borderId="39" xfId="0" applyFill="1" applyBorder="1" applyProtection="1">
      <protection hidden="1"/>
    </xf>
    <xf numFmtId="0" fontId="0" fillId="19" borderId="59" xfId="0" applyFill="1" applyBorder="1" applyProtection="1">
      <protection hidden="1"/>
    </xf>
    <xf numFmtId="3" fontId="5" fillId="19" borderId="44" xfId="0" applyNumberFormat="1" applyFont="1" applyFill="1" applyBorder="1" applyAlignment="1" applyProtection="1">
      <alignment horizontal="right" vertical="top"/>
      <protection hidden="1"/>
    </xf>
    <xf numFmtId="0" fontId="21" fillId="18" borderId="51" xfId="0" applyFont="1" applyFill="1" applyBorder="1" applyAlignment="1" applyProtection="1">
      <alignment vertical="center"/>
      <protection hidden="1"/>
    </xf>
    <xf numFmtId="0" fontId="21" fillId="18" borderId="51" xfId="0" applyFont="1" applyFill="1" applyBorder="1" applyAlignment="1" applyProtection="1">
      <alignment vertical="center" wrapText="1"/>
      <protection hidden="1"/>
    </xf>
    <xf numFmtId="3" fontId="23" fillId="19" borderId="1" xfId="0" applyNumberFormat="1" applyFont="1" applyFill="1" applyBorder="1" applyAlignment="1" applyProtection="1">
      <alignment horizontal="center" vertical="top"/>
      <protection hidden="1"/>
    </xf>
    <xf numFmtId="3" fontId="0" fillId="20" borderId="1" xfId="0" applyNumberFormat="1" applyFill="1" applyBorder="1" applyAlignment="1" applyProtection="1">
      <alignment horizontal="center" vertical="top"/>
      <protection hidden="1"/>
    </xf>
    <xf numFmtId="3" fontId="0" fillId="24" borderId="1" xfId="0" applyNumberFormat="1" applyFill="1" applyBorder="1" applyAlignment="1" applyProtection="1">
      <alignment horizontal="center" vertical="top"/>
      <protection hidden="1"/>
    </xf>
    <xf numFmtId="3" fontId="0" fillId="25" borderId="1" xfId="0" applyNumberFormat="1" applyFill="1" applyBorder="1" applyAlignment="1" applyProtection="1">
      <alignment horizontal="center" vertical="top"/>
      <protection hidden="1"/>
    </xf>
    <xf numFmtId="3" fontId="0" fillId="12" borderId="1" xfId="0" applyNumberFormat="1" applyFill="1" applyBorder="1" applyAlignment="1" applyProtection="1">
      <alignment horizontal="center" vertical="top"/>
      <protection hidden="1"/>
    </xf>
    <xf numFmtId="3" fontId="0" fillId="22" borderId="1" xfId="0" applyNumberFormat="1" applyFill="1" applyBorder="1" applyAlignment="1" applyProtection="1">
      <alignment horizontal="center" vertical="top"/>
      <protection hidden="1"/>
    </xf>
    <xf numFmtId="3" fontId="0" fillId="23" borderId="1" xfId="0" applyNumberFormat="1" applyFill="1" applyBorder="1" applyAlignment="1" applyProtection="1">
      <alignment horizontal="center" vertical="top"/>
      <protection hidden="1"/>
    </xf>
    <xf numFmtId="3" fontId="5" fillId="21" borderId="1" xfId="0" applyNumberFormat="1" applyFont="1" applyFill="1" applyBorder="1" applyAlignment="1" applyProtection="1">
      <alignment horizontal="center" vertical="top"/>
      <protection hidden="1"/>
    </xf>
    <xf numFmtId="0" fontId="0" fillId="8" borderId="51" xfId="0" applyFill="1" applyBorder="1" applyProtection="1">
      <protection hidden="1"/>
    </xf>
    <xf numFmtId="0" fontId="0" fillId="8" borderId="0" xfId="0" applyFill="1" applyBorder="1" applyProtection="1">
      <protection hidden="1"/>
    </xf>
    <xf numFmtId="3" fontId="5" fillId="8" borderId="1" xfId="0" applyNumberFormat="1" applyFont="1" applyFill="1" applyBorder="1" applyAlignment="1" applyProtection="1">
      <alignment horizontal="center" vertical="top"/>
      <protection hidden="1"/>
    </xf>
    <xf numFmtId="0" fontId="0" fillId="8" borderId="43" xfId="0" applyFill="1" applyBorder="1" applyProtection="1">
      <protection hidden="1"/>
    </xf>
    <xf numFmtId="0" fontId="0" fillId="8" borderId="44" xfId="0" applyFill="1" applyBorder="1" applyProtection="1">
      <protection hidden="1"/>
    </xf>
    <xf numFmtId="0" fontId="0" fillId="15" borderId="39" xfId="0" applyFill="1" applyBorder="1" applyProtection="1">
      <protection hidden="1"/>
    </xf>
    <xf numFmtId="0" fontId="0" fillId="15" borderId="59" xfId="0" applyFill="1" applyBorder="1" applyProtection="1">
      <protection hidden="1"/>
    </xf>
    <xf numFmtId="0" fontId="0" fillId="15" borderId="51" xfId="0" applyFill="1" applyBorder="1" applyProtection="1">
      <protection hidden="1"/>
    </xf>
    <xf numFmtId="0" fontId="0" fillId="15" borderId="0" xfId="0" applyFill="1" applyBorder="1" applyProtection="1">
      <protection hidden="1"/>
    </xf>
    <xf numFmtId="0" fontId="5" fillId="15" borderId="29" xfId="0" applyFont="1" applyFill="1" applyBorder="1" applyAlignment="1" applyProtection="1">
      <alignment horizontal="center" vertical="top" wrapText="1"/>
      <protection hidden="1"/>
    </xf>
    <xf numFmtId="0" fontId="5" fillId="15" borderId="30" xfId="0" applyFont="1" applyFill="1" applyBorder="1" applyAlignment="1" applyProtection="1">
      <alignment horizontal="center" vertical="top" wrapText="1"/>
      <protection hidden="1"/>
    </xf>
    <xf numFmtId="0" fontId="5" fillId="15" borderId="31" xfId="0" applyFont="1" applyFill="1" applyBorder="1" applyAlignment="1" applyProtection="1">
      <alignment horizontal="center" vertical="center" wrapText="1"/>
      <protection hidden="1"/>
    </xf>
    <xf numFmtId="0" fontId="5" fillId="15" borderId="20" xfId="0" applyFont="1" applyFill="1" applyBorder="1" applyProtection="1">
      <protection hidden="1"/>
    </xf>
    <xf numFmtId="3" fontId="0" fillId="15" borderId="21" xfId="0" applyNumberFormat="1" applyFill="1" applyBorder="1" applyAlignment="1" applyProtection="1">
      <alignment horizontal="center" vertical="top"/>
      <protection hidden="1"/>
    </xf>
    <xf numFmtId="2" fontId="0" fillId="15" borderId="22" xfId="0" applyNumberFormat="1" applyFill="1" applyBorder="1" applyAlignment="1" applyProtection="1">
      <alignment horizontal="center" vertical="center"/>
      <protection hidden="1"/>
    </xf>
    <xf numFmtId="0" fontId="5" fillId="15" borderId="3" xfId="0" applyFont="1" applyFill="1" applyBorder="1" applyProtection="1">
      <protection hidden="1"/>
    </xf>
    <xf numFmtId="3" fontId="0" fillId="15" borderId="1" xfId="0" applyNumberFormat="1" applyFill="1" applyBorder="1" applyAlignment="1" applyProtection="1">
      <alignment horizontal="center" vertical="top"/>
      <protection hidden="1"/>
    </xf>
    <xf numFmtId="3" fontId="5" fillId="15" borderId="1" xfId="0" applyNumberFormat="1" applyFont="1" applyFill="1" applyBorder="1" applyAlignment="1" applyProtection="1">
      <alignment horizontal="center" vertical="top"/>
      <protection hidden="1"/>
    </xf>
    <xf numFmtId="3" fontId="5" fillId="15" borderId="1" xfId="0" quotePrefix="1" applyNumberFormat="1" applyFont="1" applyFill="1" applyBorder="1" applyAlignment="1" applyProtection="1">
      <alignment horizontal="center" vertical="top"/>
      <protection hidden="1"/>
    </xf>
    <xf numFmtId="0" fontId="0" fillId="15" borderId="7" xfId="0" applyFill="1" applyBorder="1" applyProtection="1">
      <protection hidden="1"/>
    </xf>
    <xf numFmtId="3" fontId="0" fillId="15" borderId="5" xfId="0" applyNumberFormat="1" applyFill="1" applyBorder="1" applyAlignment="1" applyProtection="1">
      <alignment horizontal="center" vertical="top"/>
      <protection hidden="1"/>
    </xf>
    <xf numFmtId="2" fontId="0" fillId="15" borderId="6" xfId="0" applyNumberFormat="1" applyFill="1" applyBorder="1" applyAlignment="1" applyProtection="1">
      <alignment horizontal="center" vertical="center"/>
      <protection hidden="1"/>
    </xf>
    <xf numFmtId="0" fontId="0" fillId="15" borderId="44" xfId="0" applyFill="1" applyBorder="1" applyProtection="1">
      <protection hidden="1"/>
    </xf>
    <xf numFmtId="3" fontId="0" fillId="15" borderId="44" xfId="0" applyNumberFormat="1" applyFill="1" applyBorder="1" applyAlignment="1" applyProtection="1">
      <alignment horizontal="center" vertical="top"/>
      <protection hidden="1"/>
    </xf>
    <xf numFmtId="3" fontId="5" fillId="15" borderId="44" xfId="0" applyNumberFormat="1" applyFont="1" applyFill="1" applyBorder="1" applyAlignment="1" applyProtection="1">
      <alignment horizontal="right" vertical="top"/>
      <protection hidden="1"/>
    </xf>
    <xf numFmtId="2" fontId="0" fillId="15" borderId="45" xfId="0" applyNumberFormat="1" applyFill="1" applyBorder="1" applyAlignment="1" applyProtection="1">
      <alignment horizontal="center" vertical="center"/>
      <protection hidden="1"/>
    </xf>
    <xf numFmtId="0" fontId="0" fillId="8" borderId="58" xfId="0" applyFill="1" applyBorder="1" applyProtection="1">
      <protection hidden="1"/>
    </xf>
    <xf numFmtId="0" fontId="5" fillId="8" borderId="0" xfId="0" applyFont="1" applyFill="1" applyBorder="1" applyAlignment="1" applyProtection="1">
      <alignment horizontal="right"/>
      <protection hidden="1"/>
    </xf>
    <xf numFmtId="2" fontId="0" fillId="8" borderId="0" xfId="0" applyNumberFormat="1" applyFill="1" applyBorder="1" applyAlignment="1" applyProtection="1">
      <alignment horizontal="center" vertical="top"/>
      <protection hidden="1"/>
    </xf>
    <xf numFmtId="0" fontId="21" fillId="8" borderId="58" xfId="0" applyFont="1" applyFill="1" applyBorder="1" applyAlignment="1" applyProtection="1">
      <protection hidden="1"/>
    </xf>
    <xf numFmtId="2" fontId="0" fillId="8" borderId="0" xfId="0" applyNumberFormat="1" applyFill="1" applyBorder="1" applyAlignment="1" applyProtection="1">
      <alignment horizontal="center"/>
      <protection hidden="1"/>
    </xf>
    <xf numFmtId="0" fontId="0" fillId="8" borderId="45" xfId="0" applyFill="1" applyBorder="1" applyProtection="1">
      <protection hidden="1"/>
    </xf>
    <xf numFmtId="2" fontId="0" fillId="8" borderId="58" xfId="0" applyNumberFormat="1" applyFill="1" applyBorder="1" applyAlignment="1" applyProtection="1">
      <alignment horizontal="center" vertical="center"/>
      <protection hidden="1"/>
    </xf>
    <xf numFmtId="3" fontId="0" fillId="8" borderId="0" xfId="0" applyNumberFormat="1" applyFill="1" applyBorder="1" applyAlignment="1" applyProtection="1">
      <alignment horizontal="center" vertical="top"/>
      <protection hidden="1"/>
    </xf>
    <xf numFmtId="3" fontId="5" fillId="8" borderId="0" xfId="0" applyNumberFormat="1" applyFont="1" applyFill="1" applyBorder="1" applyAlignment="1" applyProtection="1">
      <alignment horizontal="center" vertical="top"/>
      <protection hidden="1"/>
    </xf>
    <xf numFmtId="2" fontId="5" fillId="8" borderId="58" xfId="0" applyNumberFormat="1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166" fontId="0" fillId="8" borderId="1" xfId="0" applyNumberFormat="1" applyFill="1" applyBorder="1" applyAlignment="1" applyProtection="1">
      <alignment horizontal="center"/>
      <protection hidden="1"/>
    </xf>
    <xf numFmtId="166" fontId="0" fillId="8" borderId="1" xfId="0" applyNumberFormat="1" applyFill="1" applyBorder="1" applyAlignment="1" applyProtection="1">
      <alignment horizontal="center" vertical="top"/>
      <protection hidden="1"/>
    </xf>
    <xf numFmtId="166" fontId="5" fillId="8" borderId="1" xfId="0" applyNumberFormat="1" applyFont="1" applyFill="1" applyBorder="1" applyAlignment="1" applyProtection="1">
      <alignment horizontal="center" vertical="top"/>
      <protection hidden="1"/>
    </xf>
    <xf numFmtId="3" fontId="4" fillId="19" borderId="1" xfId="0" applyNumberFormat="1" applyFont="1" applyFill="1" applyBorder="1" applyAlignment="1" applyProtection="1">
      <alignment horizontal="center" vertical="top"/>
      <protection hidden="1"/>
    </xf>
    <xf numFmtId="0" fontId="4" fillId="15" borderId="1" xfId="0" applyFont="1" applyFill="1" applyBorder="1" applyAlignment="1" applyProtection="1">
      <alignment horizontal="center" vertical="center"/>
      <protection hidden="1"/>
    </xf>
    <xf numFmtId="3" fontId="4" fillId="19" borderId="8" xfId="0" applyNumberFormat="1" applyFont="1" applyFill="1" applyBorder="1" applyAlignment="1" applyProtection="1">
      <alignment horizontal="center" vertical="top"/>
      <protection hidden="1"/>
    </xf>
    <xf numFmtId="3" fontId="23" fillId="26" borderId="1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12" fillId="22" borderId="1" xfId="0" applyFont="1" applyFill="1" applyBorder="1" applyAlignment="1" applyProtection="1">
      <alignment horizontal="left" vertical="center"/>
      <protection hidden="1"/>
    </xf>
    <xf numFmtId="0" fontId="12" fillId="12" borderId="1" xfId="0" applyFont="1" applyFill="1" applyBorder="1" applyAlignment="1" applyProtection="1">
      <alignment horizontal="left" vertical="center"/>
      <protection hidden="1"/>
    </xf>
    <xf numFmtId="2" fontId="12" fillId="22" borderId="1" xfId="0" applyNumberFormat="1" applyFont="1" applyFill="1" applyBorder="1" applyAlignment="1" applyProtection="1">
      <alignment horizontal="center" vertical="center"/>
      <protection hidden="1"/>
    </xf>
    <xf numFmtId="1" fontId="12" fillId="22" borderId="1" xfId="0" applyNumberFormat="1" applyFont="1" applyFill="1" applyBorder="1" applyAlignment="1" applyProtection="1">
      <alignment horizontal="center" vertical="center"/>
      <protection hidden="1"/>
    </xf>
    <xf numFmtId="0" fontId="12" fillId="12" borderId="1" xfId="2" applyFont="1" applyFill="1" applyBorder="1" applyAlignment="1" applyProtection="1">
      <alignment horizontal="left" vertical="center"/>
      <protection hidden="1"/>
    </xf>
    <xf numFmtId="2" fontId="12" fillId="12" borderId="1" xfId="2" applyNumberFormat="1" applyFont="1" applyFill="1" applyBorder="1" applyAlignment="1" applyProtection="1">
      <alignment horizontal="center" vertical="center"/>
      <protection hidden="1"/>
    </xf>
    <xf numFmtId="0" fontId="12" fillId="12" borderId="1" xfId="2" applyFont="1" applyFill="1" applyBorder="1" applyAlignment="1" applyProtection="1">
      <alignment horizontal="center" vertical="center"/>
      <protection hidden="1"/>
    </xf>
    <xf numFmtId="0" fontId="12" fillId="28" borderId="1" xfId="0" applyFont="1" applyFill="1" applyBorder="1" applyAlignment="1" applyProtection="1">
      <alignment horizontal="left" vertical="center"/>
      <protection hidden="1"/>
    </xf>
    <xf numFmtId="2" fontId="12" fillId="28" borderId="1" xfId="0" applyNumberFormat="1" applyFont="1" applyFill="1" applyBorder="1" applyAlignment="1" applyProtection="1">
      <alignment horizontal="center" vertical="center"/>
      <protection hidden="1"/>
    </xf>
    <xf numFmtId="0" fontId="12" fillId="28" borderId="1" xfId="0" applyFont="1" applyFill="1" applyBorder="1" applyAlignment="1" applyProtection="1">
      <alignment horizontal="center" vertical="center"/>
      <protection hidden="1"/>
    </xf>
    <xf numFmtId="1" fontId="12" fillId="28" borderId="1" xfId="0" applyNumberFormat="1" applyFont="1" applyFill="1" applyBorder="1" applyAlignment="1" applyProtection="1">
      <alignment horizontal="center" vertical="center"/>
      <protection hidden="1"/>
    </xf>
    <xf numFmtId="0" fontId="12" fillId="11" borderId="1" xfId="0" applyFont="1" applyFill="1" applyBorder="1" applyAlignment="1" applyProtection="1">
      <alignment horizontal="left" vertical="center"/>
      <protection hidden="1"/>
    </xf>
    <xf numFmtId="2" fontId="12" fillId="11" borderId="1" xfId="0" applyNumberFormat="1" applyFont="1" applyFill="1" applyBorder="1" applyAlignment="1" applyProtection="1">
      <alignment horizontal="center" vertical="center"/>
      <protection hidden="1"/>
    </xf>
    <xf numFmtId="1" fontId="12" fillId="11" borderId="1" xfId="0" applyNumberFormat="1" applyFont="1" applyFill="1" applyBorder="1" applyAlignment="1" applyProtection="1">
      <alignment horizontal="center" vertical="center"/>
      <protection hidden="1"/>
    </xf>
    <xf numFmtId="0" fontId="12" fillId="11" borderId="1" xfId="0" applyFont="1" applyFill="1" applyBorder="1" applyAlignment="1" applyProtection="1">
      <alignment horizontal="center" vertical="center"/>
      <protection hidden="1"/>
    </xf>
    <xf numFmtId="0" fontId="0" fillId="12" borderId="1" xfId="0" applyFill="1" applyBorder="1" applyAlignment="1" applyProtection="1">
      <alignment vertical="center"/>
      <protection locked="0"/>
    </xf>
    <xf numFmtId="0" fontId="0" fillId="0" borderId="64" xfId="0" applyBorder="1" applyProtection="1">
      <protection hidden="1"/>
    </xf>
    <xf numFmtId="0" fontId="5" fillId="0" borderId="64" xfId="0" applyFont="1" applyBorder="1" applyProtection="1">
      <protection hidden="1"/>
    </xf>
    <xf numFmtId="0" fontId="23" fillId="19" borderId="65" xfId="0" applyFont="1" applyFill="1" applyBorder="1" applyAlignment="1" applyProtection="1">
      <alignment horizontal="center"/>
      <protection hidden="1"/>
    </xf>
    <xf numFmtId="0" fontId="0" fillId="0" borderId="64" xfId="0" applyFill="1" applyBorder="1" applyAlignment="1" applyProtection="1">
      <alignment horizontal="right"/>
      <protection hidden="1"/>
    </xf>
    <xf numFmtId="0" fontId="0" fillId="0" borderId="67" xfId="0" applyFill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2" fillId="22" borderId="1" xfId="0" quotePrefix="1" applyFont="1" applyFill="1" applyBorder="1" applyAlignment="1" applyProtection="1">
      <alignment horizontal="left" vertical="center"/>
      <protection hidden="1"/>
    </xf>
    <xf numFmtId="0" fontId="0" fillId="15" borderId="43" xfId="0" applyFill="1" applyBorder="1" applyAlignment="1" applyProtection="1">
      <alignment vertical="center"/>
      <protection hidden="1"/>
    </xf>
    <xf numFmtId="0" fontId="0" fillId="15" borderId="44" xfId="0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2" fontId="0" fillId="10" borderId="1" xfId="0" applyNumberFormat="1" applyFill="1" applyBorder="1" applyAlignment="1" applyProtection="1">
      <alignment horizontal="center" vertical="center"/>
      <protection locked="0" hidden="1"/>
    </xf>
    <xf numFmtId="0" fontId="3" fillId="15" borderId="45" xfId="0" applyFont="1" applyFill="1" applyBorder="1" applyAlignment="1" applyProtection="1">
      <alignment horizontal="center" vertical="center"/>
      <protection hidden="1"/>
    </xf>
    <xf numFmtId="0" fontId="0" fillId="15" borderId="1" xfId="0" applyFill="1" applyBorder="1" applyAlignment="1" applyProtection="1">
      <alignment vertical="center"/>
      <protection hidden="1"/>
    </xf>
    <xf numFmtId="0" fontId="2" fillId="8" borderId="43" xfId="0" applyFont="1" applyFill="1" applyBorder="1" applyProtection="1">
      <protection hidden="1"/>
    </xf>
    <xf numFmtId="0" fontId="2" fillId="19" borderId="43" xfId="0" applyFont="1" applyFill="1" applyBorder="1" applyProtection="1">
      <protection hidden="1"/>
    </xf>
    <xf numFmtId="0" fontId="2" fillId="15" borderId="43" xfId="0" applyFont="1" applyFill="1" applyBorder="1" applyProtection="1">
      <protection hidden="1"/>
    </xf>
    <xf numFmtId="0" fontId="26" fillId="27" borderId="1" xfId="0" applyFont="1" applyFill="1" applyBorder="1" applyAlignment="1" applyProtection="1">
      <alignment horizontal="left" vertical="center" wrapText="1"/>
      <protection hidden="1"/>
    </xf>
    <xf numFmtId="0" fontId="26" fillId="27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12" borderId="1" xfId="0" applyFont="1" applyFill="1" applyBorder="1" applyAlignment="1" applyProtection="1">
      <alignment horizontal="left" vertical="center"/>
      <protection locked="0"/>
    </xf>
    <xf numFmtId="0" fontId="0" fillId="12" borderId="1" xfId="0" applyFill="1" applyBorder="1" applyAlignment="1" applyProtection="1">
      <alignment vertical="center"/>
      <protection locked="0"/>
    </xf>
    <xf numFmtId="0" fontId="29" fillId="29" borderId="1" xfId="0" applyFont="1" applyFill="1" applyBorder="1" applyAlignment="1" applyProtection="1">
      <alignment vertical="center"/>
      <protection hidden="1"/>
    </xf>
    <xf numFmtId="0" fontId="29" fillId="29" borderId="1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9" fillId="16" borderId="1" xfId="0" applyFont="1" applyFill="1" applyBorder="1" applyAlignment="1" applyProtection="1">
      <alignment vertical="center"/>
      <protection hidden="1"/>
    </xf>
    <xf numFmtId="0" fontId="29" fillId="16" borderId="1" xfId="0" applyFont="1" applyFill="1" applyBorder="1" applyAlignment="1" applyProtection="1">
      <alignment horizontal="center" vertical="center"/>
      <protection hidden="1"/>
    </xf>
    <xf numFmtId="0" fontId="29" fillId="15" borderId="1" xfId="0" applyFont="1" applyFill="1" applyBorder="1" applyAlignment="1" applyProtection="1">
      <alignment vertical="center"/>
      <protection hidden="1"/>
    </xf>
    <xf numFmtId="0" fontId="29" fillId="15" borderId="1" xfId="0" applyFont="1" applyFill="1" applyBorder="1" applyAlignment="1" applyProtection="1">
      <alignment horizontal="center" vertical="center"/>
      <protection hidden="1"/>
    </xf>
    <xf numFmtId="0" fontId="12" fillId="10" borderId="1" xfId="0" quotePrefix="1" applyFont="1" applyFill="1" applyBorder="1" applyAlignment="1" applyProtection="1">
      <alignment vertical="center"/>
      <protection hidden="1"/>
    </xf>
    <xf numFmtId="0" fontId="12" fillId="10" borderId="1" xfId="0" applyFont="1" applyFill="1" applyBorder="1" applyAlignment="1" applyProtection="1">
      <alignment horizontal="center" vertical="center"/>
      <protection hidden="1"/>
    </xf>
    <xf numFmtId="0" fontId="12" fillId="8" borderId="1" xfId="0" quotePrefix="1" applyFont="1" applyFill="1" applyBorder="1" applyAlignment="1" applyProtection="1">
      <alignment vertical="center"/>
      <protection hidden="1"/>
    </xf>
    <xf numFmtId="0" fontId="12" fillId="8" borderId="1" xfId="0" applyFont="1" applyFill="1" applyBorder="1" applyAlignment="1" applyProtection="1">
      <alignment horizontal="center" vertical="center"/>
      <protection hidden="1"/>
    </xf>
    <xf numFmtId="0" fontId="12" fillId="17" borderId="1" xfId="0" quotePrefix="1" applyFont="1" applyFill="1" applyBorder="1" applyAlignment="1" applyProtection="1">
      <alignment vertical="center"/>
      <protection hidden="1"/>
    </xf>
    <xf numFmtId="0" fontId="12" fillId="17" borderId="1" xfId="0" applyFont="1" applyFill="1" applyBorder="1" applyAlignment="1" applyProtection="1">
      <alignment horizontal="center" vertical="center"/>
      <protection hidden="1"/>
    </xf>
    <xf numFmtId="0" fontId="12" fillId="10" borderId="1" xfId="0" applyFont="1" applyFill="1" applyBorder="1" applyAlignment="1" applyProtection="1">
      <alignment vertical="center"/>
      <protection hidden="1"/>
    </xf>
    <xf numFmtId="0" fontId="12" fillId="8" borderId="1" xfId="0" applyFont="1" applyFill="1" applyBorder="1" applyAlignment="1" applyProtection="1">
      <alignment vertical="center"/>
      <protection hidden="1"/>
    </xf>
    <xf numFmtId="0" fontId="12" fillId="17" borderId="1" xfId="0" applyFont="1" applyFill="1" applyBorder="1" applyAlignment="1" applyProtection="1">
      <alignment vertical="center"/>
      <protection hidden="1"/>
    </xf>
    <xf numFmtId="1" fontId="12" fillId="10" borderId="1" xfId="0" applyNumberFormat="1" applyFont="1" applyFill="1" applyBorder="1" applyAlignment="1" applyProtection="1">
      <alignment horizontal="center" vertical="center"/>
      <protection hidden="1"/>
    </xf>
    <xf numFmtId="1" fontId="12" fillId="0" borderId="0" xfId="0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9" fillId="11" borderId="1" xfId="0" applyFont="1" applyFill="1" applyBorder="1" applyAlignment="1" applyProtection="1">
      <alignment horizontal="center" vertical="center"/>
      <protection hidden="1"/>
    </xf>
    <xf numFmtId="2" fontId="5" fillId="15" borderId="1" xfId="0" quotePrefix="1" applyNumberFormat="1" applyFont="1" applyFill="1" applyBorder="1" applyAlignment="1" applyProtection="1">
      <alignment horizontal="center" vertical="center"/>
      <protection hidden="1"/>
    </xf>
    <xf numFmtId="0" fontId="0" fillId="15" borderId="1" xfId="0" applyFill="1" applyBorder="1" applyAlignment="1" applyProtection="1">
      <alignment horizontal="center" vertical="center"/>
      <protection hidden="1"/>
    </xf>
    <xf numFmtId="0" fontId="0" fillId="15" borderId="46" xfId="0" quotePrefix="1" applyFont="1" applyFill="1" applyBorder="1" applyAlignment="1" applyProtection="1">
      <alignment horizontal="center" vertical="center"/>
      <protection hidden="1"/>
    </xf>
    <xf numFmtId="0" fontId="1" fillId="0" borderId="0" xfId="3"/>
    <xf numFmtId="1" fontId="1" fillId="0" borderId="0" xfId="3" applyNumberFormat="1"/>
    <xf numFmtId="0" fontId="29" fillId="18" borderId="1" xfId="0" applyFont="1" applyFill="1" applyBorder="1" applyAlignment="1" applyProtection="1">
      <alignment horizontal="center" vertical="center"/>
      <protection hidden="1"/>
    </xf>
    <xf numFmtId="0" fontId="5" fillId="18" borderId="1" xfId="0" quotePrefix="1" applyFont="1" applyFill="1" applyBorder="1" applyProtection="1">
      <protection hidden="1"/>
    </xf>
    <xf numFmtId="0" fontId="5" fillId="18" borderId="1" xfId="0" applyFont="1" applyFill="1" applyBorder="1" applyProtection="1">
      <protection hidden="1"/>
    </xf>
    <xf numFmtId="1" fontId="0" fillId="18" borderId="1" xfId="0" applyNumberFormat="1" applyFill="1" applyBorder="1" applyAlignment="1" applyProtection="1">
      <alignment horizontal="center" vertical="center"/>
      <protection hidden="1"/>
    </xf>
    <xf numFmtId="0" fontId="29" fillId="11" borderId="1" xfId="0" applyFont="1" applyFill="1" applyBorder="1" applyAlignment="1" applyProtection="1">
      <alignment vertical="center"/>
      <protection hidden="1"/>
    </xf>
    <xf numFmtId="0" fontId="4" fillId="18" borderId="1" xfId="0" applyFont="1" applyFill="1" applyBorder="1" applyProtection="1">
      <protection hidden="1"/>
    </xf>
    <xf numFmtId="2" fontId="5" fillId="15" borderId="1" xfId="0" quotePrefix="1" applyNumberFormat="1" applyFont="1" applyFill="1" applyBorder="1" applyAlignment="1" applyProtection="1">
      <alignment horizontal="center" vertical="center"/>
      <protection locked="0"/>
    </xf>
    <xf numFmtId="2" fontId="0" fillId="15" borderId="25" xfId="0" applyNumberFormat="1" applyFill="1" applyBorder="1" applyAlignment="1" applyProtection="1">
      <alignment horizontal="center" vertical="center"/>
      <protection locked="0"/>
    </xf>
    <xf numFmtId="0" fontId="5" fillId="15" borderId="5" xfId="0" applyFont="1" applyFill="1" applyBorder="1" applyAlignment="1" applyProtection="1">
      <alignment horizontal="center" vertical="center"/>
      <protection locked="0"/>
    </xf>
    <xf numFmtId="0" fontId="5" fillId="15" borderId="6" xfId="0" applyFont="1" applyFill="1" applyBorder="1" applyAlignment="1" applyProtection="1">
      <alignment horizontal="center" vertical="center"/>
      <protection locked="0"/>
    </xf>
    <xf numFmtId="0" fontId="12" fillId="12" borderId="1" xfId="0" applyFont="1" applyFill="1" applyBorder="1" applyAlignment="1" applyProtection="1">
      <alignment vertical="center"/>
      <protection locked="0"/>
    </xf>
    <xf numFmtId="0" fontId="12" fillId="12" borderId="1" xfId="0" quotePrefix="1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Protection="1">
      <protection locked="0"/>
    </xf>
    <xf numFmtId="3" fontId="0" fillId="12" borderId="1" xfId="0" applyNumberFormat="1" applyFill="1" applyBorder="1" applyAlignment="1" applyProtection="1">
      <alignment horizontal="center" vertical="top"/>
      <protection locked="0"/>
    </xf>
    <xf numFmtId="0" fontId="4" fillId="8" borderId="40" xfId="0" applyFont="1" applyFill="1" applyBorder="1" applyAlignment="1" applyProtection="1">
      <alignment horizontal="center" vertical="center"/>
      <protection hidden="1"/>
    </xf>
    <xf numFmtId="0" fontId="5" fillId="18" borderId="0" xfId="0" applyFont="1" applyFill="1" applyBorder="1" applyAlignment="1" applyProtection="1">
      <alignment horizontal="right" vertical="center"/>
      <protection hidden="1"/>
    </xf>
    <xf numFmtId="0" fontId="6" fillId="18" borderId="1" xfId="0" applyFont="1" applyFill="1" applyBorder="1" applyAlignment="1" applyProtection="1">
      <alignment horizontal="center" vertical="center"/>
      <protection hidden="1"/>
    </xf>
    <xf numFmtId="0" fontId="6" fillId="18" borderId="4" xfId="0" applyFont="1" applyFill="1" applyBorder="1" applyAlignment="1" applyProtection="1">
      <alignment horizontal="center" vertical="center"/>
      <protection hidden="1"/>
    </xf>
    <xf numFmtId="0" fontId="5" fillId="18" borderId="0" xfId="0" applyFont="1" applyFill="1" applyBorder="1" applyAlignment="1" applyProtection="1">
      <alignment vertical="center"/>
      <protection hidden="1"/>
    </xf>
    <xf numFmtId="0" fontId="5" fillId="18" borderId="0" xfId="0" applyFont="1" applyFill="1" applyBorder="1" applyProtection="1">
      <protection hidden="1"/>
    </xf>
    <xf numFmtId="0" fontId="5" fillId="0" borderId="18" xfId="0" applyFont="1" applyBorder="1"/>
    <xf numFmtId="0" fontId="7" fillId="0" borderId="0" xfId="0" applyFont="1" applyAlignment="1" applyProtection="1">
      <alignment horizontal="right"/>
      <protection hidden="1"/>
    </xf>
    <xf numFmtId="3" fontId="7" fillId="9" borderId="1" xfId="0" applyNumberFormat="1" applyFont="1" applyFill="1" applyBorder="1" applyProtection="1"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7" fillId="0" borderId="16" xfId="0" applyNumberFormat="1" applyFont="1" applyBorder="1" applyAlignment="1" applyProtection="1">
      <alignment horizontal="center"/>
      <protection hidden="1"/>
    </xf>
    <xf numFmtId="3" fontId="7" fillId="9" borderId="1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Protection="1"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3" fontId="7" fillId="0" borderId="68" xfId="0" applyNumberFormat="1" applyFont="1" applyBorder="1" applyAlignment="1" applyProtection="1">
      <alignment horizontal="center"/>
      <protection hidden="1"/>
    </xf>
    <xf numFmtId="0" fontId="7" fillId="0" borderId="68" xfId="0" applyFont="1" applyBorder="1" applyAlignment="1" applyProtection="1">
      <alignment horizontal="center"/>
      <protection hidden="1"/>
    </xf>
    <xf numFmtId="4" fontId="7" fillId="0" borderId="0" xfId="0" applyNumberFormat="1" applyFont="1" applyProtection="1">
      <protection hidden="1"/>
    </xf>
    <xf numFmtId="0" fontId="7" fillId="9" borderId="1" xfId="0" applyFont="1" applyFill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2" fontId="7" fillId="0" borderId="25" xfId="0" applyNumberFormat="1" applyFont="1" applyBorder="1" applyAlignment="1" applyProtection="1">
      <alignment horizontal="center"/>
      <protection hidden="1"/>
    </xf>
    <xf numFmtId="0" fontId="7" fillId="9" borderId="8" xfId="0" applyFont="1" applyFill="1" applyBorder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3" fontId="7" fillId="0" borderId="12" xfId="0" applyNumberFormat="1" applyFont="1" applyBorder="1" applyAlignment="1" applyProtection="1">
      <alignment horizontal="center"/>
      <protection hidden="1"/>
    </xf>
    <xf numFmtId="0" fontId="7" fillId="9" borderId="25" xfId="0" applyFont="1" applyFill="1" applyBorder="1" applyProtection="1">
      <protection hidden="1"/>
    </xf>
    <xf numFmtId="0" fontId="7" fillId="9" borderId="46" xfId="0" applyFont="1" applyFill="1" applyBorder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4" fontId="0" fillId="16" borderId="10" xfId="0" applyNumberFormat="1" applyFill="1" applyBorder="1"/>
    <xf numFmtId="4" fontId="0" fillId="17" borderId="10" xfId="0" applyNumberFormat="1" applyFill="1" applyBorder="1"/>
    <xf numFmtId="4" fontId="0" fillId="0" borderId="14" xfId="0" applyNumberFormat="1" applyBorder="1"/>
    <xf numFmtId="4" fontId="0" fillId="16" borderId="10" xfId="0" applyNumberFormat="1" applyFill="1" applyBorder="1" applyAlignment="1">
      <alignment horizontal="center"/>
    </xf>
    <xf numFmtId="4" fontId="0" fillId="17" borderId="10" xfId="0" applyNumberFormat="1" applyFill="1" applyBorder="1" applyAlignment="1">
      <alignment horizontal="center"/>
    </xf>
    <xf numFmtId="4" fontId="0" fillId="17" borderId="23" xfId="0" applyNumberForma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hidden="1"/>
    </xf>
    <xf numFmtId="0" fontId="7" fillId="14" borderId="54" xfId="0" applyFont="1" applyFill="1" applyBorder="1" applyAlignment="1" applyProtection="1">
      <alignment horizontal="left" vertical="top"/>
      <protection hidden="1"/>
    </xf>
    <xf numFmtId="4" fontId="0" fillId="17" borderId="52" xfId="0" applyNumberFormat="1" applyFill="1" applyBorder="1" applyAlignment="1">
      <alignment horizontal="center"/>
    </xf>
    <xf numFmtId="4" fontId="0" fillId="17" borderId="1" xfId="0" applyNumberFormat="1" applyFill="1" applyBorder="1" applyAlignment="1">
      <alignment horizontal="center"/>
    </xf>
    <xf numFmtId="4" fontId="5" fillId="0" borderId="18" xfId="0" applyNumberFormat="1" applyFont="1" applyBorder="1"/>
    <xf numFmtId="4" fontId="0" fillId="0" borderId="0" xfId="0" applyNumberFormat="1"/>
    <xf numFmtId="4" fontId="0" fillId="17" borderId="54" xfId="0" applyNumberFormat="1" applyFill="1" applyBorder="1"/>
    <xf numFmtId="4" fontId="0" fillId="16" borderId="23" xfId="0" applyNumberFormat="1" applyFill="1" applyBorder="1"/>
    <xf numFmtId="4" fontId="19" fillId="16" borderId="10" xfId="0" applyNumberFormat="1" applyFont="1" applyFill="1" applyBorder="1"/>
    <xf numFmtId="1" fontId="7" fillId="0" borderId="0" xfId="0" applyNumberFormat="1" applyFont="1" applyProtection="1">
      <protection hidden="1"/>
    </xf>
    <xf numFmtId="0" fontId="5" fillId="0" borderId="0" xfId="0" applyFont="1"/>
    <xf numFmtId="0" fontId="5" fillId="0" borderId="0" xfId="0" applyFont="1" applyFill="1" applyBorder="1"/>
    <xf numFmtId="0" fontId="2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protection hidden="1"/>
    </xf>
    <xf numFmtId="0" fontId="0" fillId="8" borderId="58" xfId="0" applyFill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horizontal="center"/>
      <protection hidden="1"/>
    </xf>
    <xf numFmtId="0" fontId="0" fillId="0" borderId="64" xfId="0" applyFill="1" applyBorder="1" applyAlignment="1" applyProtection="1">
      <alignment horizontal="right"/>
      <protection locked="0"/>
    </xf>
    <xf numFmtId="0" fontId="21" fillId="9" borderId="66" xfId="0" applyFont="1" applyFill="1" applyBorder="1" applyAlignment="1" applyProtection="1">
      <protection locked="0"/>
    </xf>
    <xf numFmtId="0" fontId="21" fillId="10" borderId="51" xfId="0" applyFont="1" applyFill="1" applyBorder="1" applyAlignment="1" applyProtection="1">
      <alignment horizontal="left" vertical="center"/>
      <protection hidden="1"/>
    </xf>
    <xf numFmtId="0" fontId="21" fillId="10" borderId="0" xfId="0" applyFont="1" applyFill="1" applyBorder="1" applyAlignment="1" applyProtection="1">
      <alignment horizontal="left" vertical="center"/>
      <protection hidden="1"/>
    </xf>
    <xf numFmtId="0" fontId="0" fillId="12" borderId="8" xfId="0" applyFill="1" applyBorder="1" applyAlignment="1" applyProtection="1">
      <alignment horizontal="left" vertical="top"/>
      <protection locked="0"/>
    </xf>
    <xf numFmtId="0" fontId="0" fillId="12" borderId="48" xfId="0" applyFill="1" applyBorder="1" applyAlignment="1" applyProtection="1">
      <alignment horizontal="left" vertical="top"/>
      <protection locked="0"/>
    </xf>
    <xf numFmtId="0" fontId="0" fillId="12" borderId="12" xfId="0" applyFill="1" applyBorder="1" applyAlignment="1" applyProtection="1">
      <alignment horizontal="left" vertical="top"/>
      <protection locked="0"/>
    </xf>
    <xf numFmtId="0" fontId="21" fillId="19" borderId="40" xfId="0" applyFont="1" applyFill="1" applyBorder="1" applyAlignment="1" applyProtection="1">
      <alignment horizontal="center"/>
      <protection hidden="1"/>
    </xf>
    <xf numFmtId="0" fontId="5" fillId="12" borderId="8" xfId="0" applyFont="1" applyFill="1" applyBorder="1" applyAlignment="1" applyProtection="1">
      <protection locked="0"/>
    </xf>
    <xf numFmtId="0" fontId="5" fillId="12" borderId="48" xfId="0" applyFont="1" applyFill="1" applyBorder="1" applyAlignment="1" applyProtection="1">
      <protection locked="0"/>
    </xf>
    <xf numFmtId="0" fontId="5" fillId="12" borderId="12" xfId="0" applyFont="1" applyFill="1" applyBorder="1" applyAlignment="1" applyProtection="1">
      <protection locked="0"/>
    </xf>
    <xf numFmtId="2" fontId="5" fillId="12" borderId="8" xfId="0" applyNumberFormat="1" applyFont="1" applyFill="1" applyBorder="1" applyAlignment="1" applyProtection="1">
      <alignment horizontal="left" vertical="top"/>
      <protection locked="0"/>
    </xf>
    <xf numFmtId="2" fontId="5" fillId="12" borderId="48" xfId="0" applyNumberFormat="1" applyFont="1" applyFill="1" applyBorder="1" applyAlignment="1" applyProtection="1">
      <alignment horizontal="left" vertical="top"/>
      <protection locked="0"/>
    </xf>
    <xf numFmtId="2" fontId="5" fillId="12" borderId="12" xfId="0" applyNumberFormat="1" applyFont="1" applyFill="1" applyBorder="1" applyAlignment="1" applyProtection="1">
      <alignment horizontal="left" vertical="top"/>
      <protection locked="0"/>
    </xf>
    <xf numFmtId="0" fontId="5" fillId="12" borderId="8" xfId="0" applyNumberFormat="1" applyFont="1" applyFill="1" applyBorder="1" applyAlignment="1" applyProtection="1">
      <alignment vertical="center"/>
      <protection locked="0"/>
    </xf>
    <xf numFmtId="0" fontId="5" fillId="12" borderId="48" xfId="0" applyNumberFormat="1" applyFont="1" applyFill="1" applyBorder="1" applyAlignment="1" applyProtection="1">
      <alignment vertical="center"/>
      <protection locked="0"/>
    </xf>
    <xf numFmtId="0" fontId="5" fillId="12" borderId="12" xfId="0" applyNumberFormat="1" applyFont="1" applyFill="1" applyBorder="1" applyAlignment="1" applyProtection="1">
      <alignment vertical="center"/>
      <protection locked="0"/>
    </xf>
    <xf numFmtId="0" fontId="0" fillId="12" borderId="8" xfId="0" applyFill="1" applyBorder="1" applyAlignment="1" applyProtection="1">
      <protection locked="0"/>
    </xf>
    <xf numFmtId="0" fontId="0" fillId="12" borderId="48" xfId="0" applyFill="1" applyBorder="1" applyAlignment="1" applyProtection="1">
      <protection locked="0"/>
    </xf>
    <xf numFmtId="0" fontId="0" fillId="12" borderId="12" xfId="0" applyFill="1" applyBorder="1" applyAlignment="1" applyProtection="1">
      <protection locked="0"/>
    </xf>
    <xf numFmtId="0" fontId="0" fillId="12" borderId="8" xfId="0" applyFill="1" applyBorder="1" applyAlignment="1" applyProtection="1">
      <alignment horizontal="left"/>
      <protection locked="0"/>
    </xf>
    <xf numFmtId="0" fontId="0" fillId="12" borderId="48" xfId="0" applyFill="1" applyBorder="1" applyAlignment="1" applyProtection="1">
      <alignment horizontal="left"/>
      <protection locked="0"/>
    </xf>
    <xf numFmtId="0" fontId="0" fillId="12" borderId="12" xfId="0" applyFill="1" applyBorder="1" applyAlignment="1" applyProtection="1">
      <alignment horizontal="left"/>
      <protection locked="0"/>
    </xf>
    <xf numFmtId="0" fontId="23" fillId="8" borderId="39" xfId="0" applyFont="1" applyFill="1" applyBorder="1" applyAlignment="1" applyProtection="1">
      <alignment horizontal="center"/>
      <protection hidden="1"/>
    </xf>
    <xf numFmtId="0" fontId="23" fillId="8" borderId="40" xfId="0" applyFont="1" applyFill="1" applyBorder="1" applyAlignment="1" applyProtection="1">
      <alignment horizontal="center"/>
      <protection hidden="1"/>
    </xf>
    <xf numFmtId="0" fontId="23" fillId="8" borderId="59" xfId="0" applyFont="1" applyFill="1" applyBorder="1" applyAlignment="1" applyProtection="1">
      <alignment horizontal="center"/>
      <protection hidden="1"/>
    </xf>
    <xf numFmtId="0" fontId="4" fillId="15" borderId="51" xfId="0" applyFont="1" applyFill="1" applyBorder="1" applyAlignment="1" applyProtection="1">
      <alignment horizontal="left" vertical="center"/>
      <protection hidden="1"/>
    </xf>
    <xf numFmtId="0" fontId="4" fillId="15" borderId="0" xfId="0" applyFont="1" applyFill="1" applyBorder="1" applyAlignment="1" applyProtection="1">
      <alignment horizontal="left" vertical="center"/>
      <protection hidden="1"/>
    </xf>
    <xf numFmtId="0" fontId="21" fillId="8" borderId="63" xfId="0" applyFont="1" applyFill="1" applyBorder="1" applyAlignment="1" applyProtection="1">
      <alignment horizontal="center"/>
      <protection hidden="1"/>
    </xf>
    <xf numFmtId="0" fontId="23" fillId="8" borderId="39" xfId="0" applyFont="1" applyFill="1" applyBorder="1" applyAlignment="1" applyProtection="1">
      <alignment horizontal="center" vertical="center"/>
      <protection hidden="1"/>
    </xf>
    <xf numFmtId="0" fontId="23" fillId="8" borderId="40" xfId="0" applyFont="1" applyFill="1" applyBorder="1" applyAlignment="1" applyProtection="1">
      <alignment horizontal="center" vertical="center"/>
      <protection hidden="1"/>
    </xf>
    <xf numFmtId="0" fontId="23" fillId="8" borderId="59" xfId="0" applyFont="1" applyFill="1" applyBorder="1" applyAlignment="1" applyProtection="1">
      <alignment horizontal="center" vertical="center"/>
      <protection hidden="1"/>
    </xf>
    <xf numFmtId="0" fontId="23" fillId="8" borderId="51" xfId="0" applyFont="1" applyFill="1" applyBorder="1" applyAlignment="1" applyProtection="1">
      <alignment horizontal="center" vertical="center"/>
      <protection hidden="1"/>
    </xf>
    <xf numFmtId="0" fontId="23" fillId="8" borderId="0" xfId="0" applyFont="1" applyFill="1" applyBorder="1" applyAlignment="1" applyProtection="1">
      <alignment horizontal="center" vertical="center"/>
      <protection hidden="1"/>
    </xf>
    <xf numFmtId="0" fontId="23" fillId="8" borderId="58" xfId="0" applyFont="1" applyFill="1" applyBorder="1" applyAlignment="1" applyProtection="1">
      <alignment horizontal="center" vertical="center"/>
      <protection hidden="1"/>
    </xf>
    <xf numFmtId="0" fontId="4" fillId="8" borderId="39" xfId="0" applyFont="1" applyFill="1" applyBorder="1" applyAlignment="1" applyProtection="1">
      <alignment horizontal="center" vertical="center"/>
      <protection hidden="1"/>
    </xf>
    <xf numFmtId="0" fontId="4" fillId="8" borderId="40" xfId="0" applyFont="1" applyFill="1" applyBorder="1" applyAlignment="1" applyProtection="1">
      <alignment horizontal="center" vertical="center"/>
      <protection hidden="1"/>
    </xf>
    <xf numFmtId="0" fontId="4" fillId="8" borderId="59" xfId="0" applyFont="1" applyFill="1" applyBorder="1" applyAlignment="1" applyProtection="1">
      <alignment horizontal="center" vertical="center"/>
      <protection hidden="1"/>
    </xf>
    <xf numFmtId="0" fontId="5" fillId="12" borderId="8" xfId="0" applyFont="1" applyFill="1" applyBorder="1" applyAlignment="1" applyProtection="1">
      <alignment vertical="center"/>
      <protection locked="0"/>
    </xf>
    <xf numFmtId="0" fontId="0" fillId="12" borderId="48" xfId="0" applyFill="1" applyBorder="1" applyAlignment="1" applyProtection="1">
      <alignment vertical="center"/>
      <protection locked="0"/>
    </xf>
    <xf numFmtId="0" fontId="0" fillId="12" borderId="12" xfId="0" applyFill="1" applyBorder="1" applyAlignment="1" applyProtection="1">
      <alignment vertical="center"/>
      <protection locked="0"/>
    </xf>
    <xf numFmtId="0" fontId="0" fillId="12" borderId="1" xfId="0" applyFill="1" applyBorder="1" applyAlignment="1" applyProtection="1">
      <alignment vertical="center"/>
      <protection locked="0"/>
    </xf>
    <xf numFmtId="165" fontId="4" fillId="8" borderId="1" xfId="1" applyNumberFormat="1" applyFont="1" applyFill="1" applyBorder="1" applyAlignment="1" applyProtection="1">
      <alignment horizontal="center" vertical="center"/>
      <protection hidden="1"/>
    </xf>
    <xf numFmtId="165" fontId="4" fillId="8" borderId="4" xfId="1" applyNumberFormat="1" applyFont="1" applyFill="1" applyBorder="1" applyAlignment="1" applyProtection="1">
      <alignment horizontal="center" vertical="center"/>
      <protection hidden="1"/>
    </xf>
    <xf numFmtId="0" fontId="4" fillId="15" borderId="58" xfId="0" applyFont="1" applyFill="1" applyBorder="1" applyAlignment="1" applyProtection="1">
      <alignment horizontal="left" vertical="center"/>
      <protection hidden="1"/>
    </xf>
    <xf numFmtId="0" fontId="21" fillId="10" borderId="58" xfId="0" applyFont="1" applyFill="1" applyBorder="1" applyAlignment="1" applyProtection="1">
      <alignment horizontal="left" vertical="center"/>
      <protection hidden="1"/>
    </xf>
    <xf numFmtId="0" fontId="23" fillId="18" borderId="39" xfId="0" applyFont="1" applyFill="1" applyBorder="1" applyAlignment="1" applyProtection="1">
      <alignment horizontal="center"/>
      <protection hidden="1"/>
    </xf>
    <xf numFmtId="0" fontId="23" fillId="18" borderId="40" xfId="0" applyFont="1" applyFill="1" applyBorder="1" applyAlignment="1" applyProtection="1">
      <alignment horizontal="center"/>
      <protection hidden="1"/>
    </xf>
    <xf numFmtId="0" fontId="23" fillId="18" borderId="59" xfId="0" applyFont="1" applyFill="1" applyBorder="1" applyAlignment="1" applyProtection="1">
      <alignment horizontal="center"/>
      <protection hidden="1"/>
    </xf>
    <xf numFmtId="0" fontId="21" fillId="15" borderId="40" xfId="0" applyFont="1" applyFill="1" applyBorder="1" applyAlignment="1" applyProtection="1">
      <alignment horizontal="center"/>
      <protection hidden="1"/>
    </xf>
    <xf numFmtId="0" fontId="21" fillId="8" borderId="0" xfId="0" applyFont="1" applyFill="1" applyBorder="1" applyAlignment="1" applyProtection="1">
      <alignment horizontal="center"/>
      <protection hidden="1"/>
    </xf>
    <xf numFmtId="2" fontId="5" fillId="12" borderId="8" xfId="0" applyNumberFormat="1" applyFont="1" applyFill="1" applyBorder="1" applyAlignment="1" applyProtection="1">
      <alignment horizontal="left"/>
      <protection locked="0"/>
    </xf>
    <xf numFmtId="2" fontId="5" fillId="12" borderId="48" xfId="0" applyNumberFormat="1" applyFont="1" applyFill="1" applyBorder="1" applyAlignment="1" applyProtection="1">
      <alignment horizontal="left"/>
      <protection locked="0"/>
    </xf>
    <xf numFmtId="2" fontId="5" fillId="12" borderId="12" xfId="0" applyNumberFormat="1" applyFont="1" applyFill="1" applyBorder="1" applyAlignment="1" applyProtection="1">
      <alignment horizontal="left"/>
      <protection locked="0"/>
    </xf>
    <xf numFmtId="0" fontId="5" fillId="12" borderId="8" xfId="0" applyFont="1" applyFill="1" applyBorder="1" applyAlignment="1" applyProtection="1">
      <alignment horizontal="left"/>
      <protection locked="0"/>
    </xf>
    <xf numFmtId="0" fontId="5" fillId="12" borderId="48" xfId="0" applyFont="1" applyFill="1" applyBorder="1" applyAlignment="1" applyProtection="1">
      <alignment horizontal="left"/>
      <protection locked="0"/>
    </xf>
    <xf numFmtId="0" fontId="5" fillId="12" borderId="12" xfId="0" applyFont="1" applyFill="1" applyBorder="1" applyAlignment="1" applyProtection="1">
      <alignment horizontal="left"/>
      <protection locked="0"/>
    </xf>
    <xf numFmtId="0" fontId="23" fillId="26" borderId="8" xfId="0" applyFont="1" applyFill="1" applyBorder="1" applyAlignment="1" applyProtection="1">
      <alignment horizontal="right"/>
      <protection hidden="1"/>
    </xf>
    <xf numFmtId="0" fontId="23" fillId="26" borderId="48" xfId="0" applyFont="1" applyFill="1" applyBorder="1" applyAlignment="1" applyProtection="1">
      <alignment horizontal="right"/>
      <protection hidden="1"/>
    </xf>
    <xf numFmtId="0" fontId="23" fillId="26" borderId="12" xfId="0" applyFont="1" applyFill="1" applyBorder="1" applyAlignment="1" applyProtection="1">
      <alignment horizontal="right"/>
      <protection hidden="1"/>
    </xf>
    <xf numFmtId="0" fontId="23" fillId="19" borderId="8" xfId="0" applyFont="1" applyFill="1" applyBorder="1" applyAlignment="1" applyProtection="1">
      <alignment horizontal="right"/>
      <protection hidden="1"/>
    </xf>
    <xf numFmtId="0" fontId="23" fillId="19" borderId="48" xfId="0" applyFont="1" applyFill="1" applyBorder="1" applyAlignment="1" applyProtection="1">
      <alignment horizontal="right"/>
      <protection hidden="1"/>
    </xf>
    <xf numFmtId="0" fontId="23" fillId="19" borderId="12" xfId="0" applyFont="1" applyFill="1" applyBorder="1" applyAlignment="1" applyProtection="1">
      <alignment horizontal="right"/>
      <protection hidden="1"/>
    </xf>
    <xf numFmtId="0" fontId="30" fillId="8" borderId="51" xfId="0" applyFont="1" applyFill="1" applyBorder="1" applyAlignment="1" applyProtection="1">
      <alignment horizontal="center" textRotation="90"/>
      <protection hidden="1"/>
    </xf>
    <xf numFmtId="0" fontId="31" fillId="0" borderId="51" xfId="0" applyFont="1" applyBorder="1" applyAlignment="1"/>
    <xf numFmtId="0" fontId="16" fillId="0" borderId="44" xfId="0" applyFont="1" applyBorder="1" applyAlignment="1" applyProtection="1">
      <alignment horizontal="center" vertical="top"/>
      <protection hidden="1"/>
    </xf>
    <xf numFmtId="0" fontId="4" fillId="5" borderId="27" xfId="0" applyFont="1" applyFill="1" applyBorder="1" applyAlignment="1" applyProtection="1">
      <alignment horizontal="center"/>
      <protection hidden="1"/>
    </xf>
    <xf numFmtId="0" fontId="4" fillId="5" borderId="11" xfId="0" applyFont="1" applyFill="1" applyBorder="1" applyAlignment="1" applyProtection="1">
      <alignment horizontal="center"/>
      <protection hidden="1"/>
    </xf>
    <xf numFmtId="0" fontId="4" fillId="5" borderId="49" xfId="0" applyFont="1" applyFill="1" applyBorder="1" applyAlignment="1" applyProtection="1">
      <alignment horizontal="center"/>
      <protection hidden="1"/>
    </xf>
    <xf numFmtId="0" fontId="4" fillId="6" borderId="27" xfId="0" applyFont="1" applyFill="1" applyBorder="1" applyAlignment="1" applyProtection="1">
      <alignment horizontal="center"/>
      <protection hidden="1"/>
    </xf>
    <xf numFmtId="0" fontId="4" fillId="6" borderId="11" xfId="0" applyFont="1" applyFill="1" applyBorder="1" applyAlignment="1" applyProtection="1">
      <alignment horizontal="center"/>
      <protection hidden="1"/>
    </xf>
    <xf numFmtId="0" fontId="4" fillId="6" borderId="49" xfId="0" applyFont="1" applyFill="1" applyBorder="1" applyAlignment="1" applyProtection="1">
      <alignment horizontal="center"/>
      <protection hidden="1"/>
    </xf>
    <xf numFmtId="0" fontId="4" fillId="7" borderId="27" xfId="0" applyFont="1" applyFill="1" applyBorder="1" applyAlignment="1" applyProtection="1">
      <alignment horizontal="center"/>
      <protection hidden="1"/>
    </xf>
    <xf numFmtId="0" fontId="4" fillId="7" borderId="11" xfId="0" applyFont="1" applyFill="1" applyBorder="1" applyAlignment="1" applyProtection="1">
      <alignment horizontal="center"/>
      <protection hidden="1"/>
    </xf>
    <xf numFmtId="0" fontId="4" fillId="7" borderId="49" xfId="0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49" xfId="0" applyFont="1" applyFill="1" applyBorder="1" applyAlignment="1" applyProtection="1">
      <alignment horizontal="center"/>
      <protection hidden="1"/>
    </xf>
    <xf numFmtId="0" fontId="4" fillId="3" borderId="27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/>
      <protection hidden="1"/>
    </xf>
    <xf numFmtId="0" fontId="4" fillId="3" borderId="49" xfId="0" applyFont="1" applyFill="1" applyBorder="1" applyAlignment="1" applyProtection="1">
      <alignment horizontal="center"/>
      <protection hidden="1"/>
    </xf>
    <xf numFmtId="0" fontId="4" fillId="4" borderId="27" xfId="0" applyFont="1" applyFill="1" applyBorder="1" applyAlignment="1" applyProtection="1">
      <alignment horizontal="center"/>
      <protection hidden="1"/>
    </xf>
    <xf numFmtId="0" fontId="4" fillId="4" borderId="11" xfId="0" applyFont="1" applyFill="1" applyBorder="1" applyAlignment="1" applyProtection="1">
      <alignment horizontal="center"/>
      <protection hidden="1"/>
    </xf>
    <xf numFmtId="0" fontId="4" fillId="4" borderId="49" xfId="0" applyFont="1" applyFill="1" applyBorder="1" applyAlignment="1" applyProtection="1">
      <alignment horizontal="center"/>
      <protection hidden="1"/>
    </xf>
  </cellXfs>
  <cellStyles count="4">
    <cellStyle name="Normal" xfId="0" builtinId="0"/>
    <cellStyle name="Normal 2" xfId="3"/>
    <cellStyle name="Normal_Hoja1" xfId="2"/>
    <cellStyle name="Porcentaje" xfId="1" builtinId="5"/>
  </cellStyles>
  <dxfs count="0"/>
  <tableStyles count="0" defaultTableStyle="TableStyleMedium9" defaultPivotStyle="PivotStyleLight16"/>
  <colors>
    <mruColors>
      <color rgb="FF99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worksheet" Target="worksheets/sheet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1.xml"/><Relationship Id="rId10" Type="http://schemas.openxmlformats.org/officeDocument/2006/relationships/chartsheet" Target="chartsheets/sheet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ENERGY</a:t>
            </a:r>
            <a:r>
              <a:rPr lang="en-US" baseline="0"/>
              <a:t> DEMAND </a:t>
            </a:r>
            <a:r>
              <a:rPr lang="en-US"/>
              <a:t>kWh/m</a:t>
            </a:r>
            <a:r>
              <a:rPr lang="en-US" baseline="30000"/>
              <a:t>2</a:t>
            </a:r>
            <a:r>
              <a:rPr lang="en-US"/>
              <a:t>/month</a:t>
            </a:r>
          </a:p>
        </c:rich>
      </c:tx>
      <c:layout>
        <c:manualLayout>
          <c:xMode val="edge"/>
          <c:yMode val="edge"/>
          <c:x val="0.335865697483152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7575480329368723E-2"/>
          <c:y val="4.3343653250774002E-2"/>
          <c:w val="0.82067703568161265"/>
          <c:h val="0.84829721362229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CalculationBefore!$C$114</c:f>
              <c:strCache>
                <c:ptCount val="1"/>
                <c:pt idx="0">
                  <c:v>CALEFACCION (Inicial)</c:v>
                </c:pt>
              </c:strCache>
            </c:strRef>
          </c:tx>
          <c:invertIfNegative val="0"/>
          <c:val>
            <c:numRef>
              <c:f>CalculationBefore!$D$114:$O$114</c:f>
              <c:numCache>
                <c:formatCode>0.00</c:formatCode>
                <c:ptCount val="12"/>
                <c:pt idx="0">
                  <c:v>21.737891452236035</c:v>
                </c:pt>
                <c:pt idx="1">
                  <c:v>17.516125334666278</c:v>
                </c:pt>
                <c:pt idx="2">
                  <c:v>15.170037753107154</c:v>
                </c:pt>
                <c:pt idx="3">
                  <c:v>10.217308041730782</c:v>
                </c:pt>
                <c:pt idx="4">
                  <c:v>3.811717426152748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3.8007702736975144</c:v>
                </c:pt>
                <c:pt idx="10">
                  <c:v>12.864290970008442</c:v>
                </c:pt>
                <c:pt idx="11">
                  <c:v>19.933409531198947</c:v>
                </c:pt>
              </c:numCache>
            </c:numRef>
          </c:val>
        </c:ser>
        <c:ser>
          <c:idx val="0"/>
          <c:order val="1"/>
          <c:tx>
            <c:strRef>
              <c:f>CalculationAfter!$C$114</c:f>
              <c:strCache>
                <c:ptCount val="1"/>
                <c:pt idx="0">
                  <c:v>CALEFACCION (Final)</c:v>
                </c:pt>
              </c:strCache>
            </c:strRef>
          </c:tx>
          <c:invertIfNegative val="0"/>
          <c:cat>
            <c:strRef>
              <c:f>CalculationAfter!$D$111:$O$111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CalculationAfter!$D$114:$O$114</c:f>
              <c:numCache>
                <c:formatCode>0.00</c:formatCode>
                <c:ptCount val="12"/>
                <c:pt idx="0">
                  <c:v>21.737891452236035</c:v>
                </c:pt>
                <c:pt idx="1">
                  <c:v>17.516125334666278</c:v>
                </c:pt>
                <c:pt idx="2">
                  <c:v>15.170037753107154</c:v>
                </c:pt>
                <c:pt idx="3">
                  <c:v>10.217308041730782</c:v>
                </c:pt>
                <c:pt idx="4">
                  <c:v>3.811717426152748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3.8007702736975144</c:v>
                </c:pt>
                <c:pt idx="10">
                  <c:v>12.864290970008442</c:v>
                </c:pt>
                <c:pt idx="11">
                  <c:v>19.933409531198947</c:v>
                </c:pt>
              </c:numCache>
            </c:numRef>
          </c:val>
        </c:ser>
        <c:ser>
          <c:idx val="3"/>
          <c:order val="2"/>
          <c:tx>
            <c:strRef>
              <c:f>CalculationBefore!$C$115</c:f>
              <c:strCache>
                <c:ptCount val="1"/>
                <c:pt idx="0">
                  <c:v>REFRIGERACION (Inicial)</c:v>
                </c:pt>
              </c:strCache>
            </c:strRef>
          </c:tx>
          <c:invertIfNegative val="0"/>
          <c:val>
            <c:numRef>
              <c:f>CalculationBefore!$D$115:$O$115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3.9349393727445596</c:v>
                </c:pt>
                <c:pt idx="5">
                  <c:v>5.854779021012658</c:v>
                </c:pt>
                <c:pt idx="6">
                  <c:v>9.3155526050960589</c:v>
                </c:pt>
                <c:pt idx="7">
                  <c:v>7.9669537961658143</c:v>
                </c:pt>
                <c:pt idx="8">
                  <c:v>4.1935598674207908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3"/>
          <c:tx>
            <c:strRef>
              <c:f>CalculationAfter!$C$115</c:f>
              <c:strCache>
                <c:ptCount val="1"/>
                <c:pt idx="0">
                  <c:v>REFRIGERACION (Final)</c:v>
                </c:pt>
              </c:strCache>
            </c:strRef>
          </c:tx>
          <c:invertIfNegative val="0"/>
          <c:cat>
            <c:strRef>
              <c:f>CalculationAfter!$D$111:$O$111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CalculationAfter!$D$115:$O$115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3.9349393727445596</c:v>
                </c:pt>
                <c:pt idx="5">
                  <c:v>5.854779021012658</c:v>
                </c:pt>
                <c:pt idx="6">
                  <c:v>9.3155526050960589</c:v>
                </c:pt>
                <c:pt idx="7">
                  <c:v>7.9669537961658143</c:v>
                </c:pt>
                <c:pt idx="8">
                  <c:v>4.1935598674207908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386224"/>
        <c:axId val="546388576"/>
      </c:barChart>
      <c:catAx>
        <c:axId val="54638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6388576"/>
        <c:crosses val="autoZero"/>
        <c:auto val="1"/>
        <c:lblAlgn val="ctr"/>
        <c:lblOffset val="100"/>
        <c:noMultiLvlLbl val="0"/>
      </c:catAx>
      <c:valAx>
        <c:axId val="54638857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crossAx val="546386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566762287931319"/>
          <c:y val="0.422380516057205"/>
          <c:w val="0.14705137615695774"/>
          <c:h val="0.1552389678855904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ES" sz="1200">
                <a:latin typeface="Arial" pitchFamily="34" charset="0"/>
                <a:cs typeface="Arial" pitchFamily="34" charset="0"/>
              </a:rPr>
              <a:t>Demand heat balance (heating) kWh/m2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ComparacionRehabilitacion!$B$2</c:f>
              <c:strCache>
                <c:ptCount val="1"/>
                <c:pt idx="0">
                  <c:v>Perdidas Situación Inicial</c:v>
                </c:pt>
              </c:strCache>
            </c:strRef>
          </c:tx>
          <c:invertIfNegative val="0"/>
          <c:cat>
            <c:strRef>
              <c:f>ComparacionRehabilitacion!$A$3:$A$8</c:f>
              <c:strCache>
                <c:ptCount val="6"/>
                <c:pt idx="0">
                  <c:v>Ventanas</c:v>
                </c:pt>
                <c:pt idx="1">
                  <c:v>Cerramientos</c:v>
                </c:pt>
                <c:pt idx="2">
                  <c:v>Suelo</c:v>
                </c:pt>
                <c:pt idx="3">
                  <c:v>Infitración+Ventilación</c:v>
                </c:pt>
                <c:pt idx="4">
                  <c:v>Ganancias solares</c:v>
                </c:pt>
                <c:pt idx="5">
                  <c:v>Ganancias internas</c:v>
                </c:pt>
              </c:strCache>
            </c:strRef>
          </c:cat>
          <c:val>
            <c:numRef>
              <c:f>ComparacionRehabilitacion!$B$3:$B$8</c:f>
              <c:numCache>
                <c:formatCode>0</c:formatCode>
                <c:ptCount val="6"/>
                <c:pt idx="0">
                  <c:v>10.712483751279622</c:v>
                </c:pt>
                <c:pt idx="1">
                  <c:v>84.32414695229069</c:v>
                </c:pt>
                <c:pt idx="2">
                  <c:v>15.638295355450236</c:v>
                </c:pt>
                <c:pt idx="3">
                  <c:v>18.611348400000004</c:v>
                </c:pt>
              </c:numCache>
            </c:numRef>
          </c:val>
        </c:ser>
        <c:ser>
          <c:idx val="1"/>
          <c:order val="1"/>
          <c:tx>
            <c:strRef>
              <c:f>ComparacionRehabilitacion!$C$2</c:f>
              <c:strCache>
                <c:ptCount val="1"/>
                <c:pt idx="0">
                  <c:v>Perdidas Situación Final</c:v>
                </c:pt>
              </c:strCache>
            </c:strRef>
          </c:tx>
          <c:invertIfNegative val="0"/>
          <c:cat>
            <c:strRef>
              <c:f>ComparacionRehabilitacion!$A$3:$A$8</c:f>
              <c:strCache>
                <c:ptCount val="6"/>
                <c:pt idx="0">
                  <c:v>Ventanas</c:v>
                </c:pt>
                <c:pt idx="1">
                  <c:v>Cerramientos</c:v>
                </c:pt>
                <c:pt idx="2">
                  <c:v>Suelo</c:v>
                </c:pt>
                <c:pt idx="3">
                  <c:v>Infitración+Ventilación</c:v>
                </c:pt>
                <c:pt idx="4">
                  <c:v>Ganancias solares</c:v>
                </c:pt>
                <c:pt idx="5">
                  <c:v>Ganancias internas</c:v>
                </c:pt>
              </c:strCache>
            </c:strRef>
          </c:cat>
          <c:val>
            <c:numRef>
              <c:f>ComparacionRehabilitacion!$C$3:$C$8</c:f>
              <c:numCache>
                <c:formatCode>0</c:formatCode>
                <c:ptCount val="6"/>
                <c:pt idx="0">
                  <c:v>10.712483751279622</c:v>
                </c:pt>
                <c:pt idx="1">
                  <c:v>84.32414695229069</c:v>
                </c:pt>
                <c:pt idx="2">
                  <c:v>15.638295355450236</c:v>
                </c:pt>
                <c:pt idx="3">
                  <c:v>18.611348400000004</c:v>
                </c:pt>
              </c:numCache>
            </c:numRef>
          </c:val>
        </c:ser>
        <c:ser>
          <c:idx val="2"/>
          <c:order val="2"/>
          <c:tx>
            <c:strRef>
              <c:f>ComparacionRehabilitacion!$D$2</c:f>
              <c:strCache>
                <c:ptCount val="1"/>
                <c:pt idx="0">
                  <c:v>Ganancias Situación Inicial</c:v>
                </c:pt>
              </c:strCache>
            </c:strRef>
          </c:tx>
          <c:invertIfNegative val="0"/>
          <c:cat>
            <c:strRef>
              <c:f>ComparacionRehabilitacion!$A$3:$A$8</c:f>
              <c:strCache>
                <c:ptCount val="6"/>
                <c:pt idx="0">
                  <c:v>Ventanas</c:v>
                </c:pt>
                <c:pt idx="1">
                  <c:v>Cerramientos</c:v>
                </c:pt>
                <c:pt idx="2">
                  <c:v>Suelo</c:v>
                </c:pt>
                <c:pt idx="3">
                  <c:v>Infitración+Ventilación</c:v>
                </c:pt>
                <c:pt idx="4">
                  <c:v>Ganancias solares</c:v>
                </c:pt>
                <c:pt idx="5">
                  <c:v>Ganancias internas</c:v>
                </c:pt>
              </c:strCache>
            </c:strRef>
          </c:cat>
          <c:val>
            <c:numRef>
              <c:f>ComparacionRehabilitacion!$D$3:$D$8</c:f>
              <c:numCache>
                <c:formatCode>0</c:formatCode>
                <c:ptCount val="6"/>
                <c:pt idx="0">
                  <c:v>-0.14079095668991432</c:v>
                </c:pt>
                <c:pt idx="1">
                  <c:v>-1.1082469385361535</c:v>
                </c:pt>
                <c:pt idx="2">
                  <c:v>0</c:v>
                </c:pt>
                <c:pt idx="3">
                  <c:v>-0.24460336252200213</c:v>
                </c:pt>
                <c:pt idx="4">
                  <c:v>-13.845813851347327</c:v>
                </c:pt>
                <c:pt idx="5">
                  <c:v>-8.8952685671272551</c:v>
                </c:pt>
              </c:numCache>
            </c:numRef>
          </c:val>
        </c:ser>
        <c:ser>
          <c:idx val="3"/>
          <c:order val="3"/>
          <c:tx>
            <c:strRef>
              <c:f>ComparacionRehabilitacion!$E$2</c:f>
              <c:strCache>
                <c:ptCount val="1"/>
                <c:pt idx="0">
                  <c:v>Ganancias Situación Final</c:v>
                </c:pt>
              </c:strCache>
            </c:strRef>
          </c:tx>
          <c:invertIfNegative val="0"/>
          <c:cat>
            <c:strRef>
              <c:f>ComparacionRehabilitacion!$A$3:$A$8</c:f>
              <c:strCache>
                <c:ptCount val="6"/>
                <c:pt idx="0">
                  <c:v>Ventanas</c:v>
                </c:pt>
                <c:pt idx="1">
                  <c:v>Cerramientos</c:v>
                </c:pt>
                <c:pt idx="2">
                  <c:v>Suelo</c:v>
                </c:pt>
                <c:pt idx="3">
                  <c:v>Infitración+Ventilación</c:v>
                </c:pt>
                <c:pt idx="4">
                  <c:v>Ganancias solares</c:v>
                </c:pt>
                <c:pt idx="5">
                  <c:v>Ganancias internas</c:v>
                </c:pt>
              </c:strCache>
            </c:strRef>
          </c:cat>
          <c:val>
            <c:numRef>
              <c:f>ComparacionRehabilitacion!$E$3:$E$8</c:f>
              <c:numCache>
                <c:formatCode>0</c:formatCode>
                <c:ptCount val="6"/>
                <c:pt idx="0">
                  <c:v>-0.14079095668991432</c:v>
                </c:pt>
                <c:pt idx="1">
                  <c:v>-1.1082469385361535</c:v>
                </c:pt>
                <c:pt idx="2">
                  <c:v>0</c:v>
                </c:pt>
                <c:pt idx="3">
                  <c:v>-0.24460336252200213</c:v>
                </c:pt>
                <c:pt idx="4">
                  <c:v>-13.845813851347327</c:v>
                </c:pt>
                <c:pt idx="5">
                  <c:v>-8.8952685671272551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695792"/>
        <c:axId val="729692264"/>
      </c:barChart>
      <c:catAx>
        <c:axId val="729695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ES"/>
          </a:p>
        </c:txPr>
        <c:crossAx val="729692264"/>
        <c:crosses val="autoZero"/>
        <c:auto val="1"/>
        <c:lblAlgn val="ctr"/>
        <c:lblOffset val="100"/>
        <c:noMultiLvlLbl val="0"/>
      </c:catAx>
      <c:valAx>
        <c:axId val="72969226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0" sourceLinked="1"/>
        <c:majorTickMark val="out"/>
        <c:minorTickMark val="none"/>
        <c:tickLblPos val="nextTo"/>
        <c:crossAx val="72969579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s-ES" sz="1100">
                <a:latin typeface="Arial" pitchFamily="34" charset="0"/>
                <a:cs typeface="Arial" pitchFamily="34" charset="0"/>
              </a:rPr>
              <a:t>Detailled demand balance (heating) kWh/m2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1287177847534202E-2"/>
          <c:y val="5.7760155090757735E-2"/>
          <c:w val="0.93678392495721685"/>
          <c:h val="0.829154095122704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Detailled!$B$1</c:f>
              <c:strCache>
                <c:ptCount val="1"/>
                <c:pt idx="0">
                  <c:v>Losses Initial case</c:v>
                </c:pt>
              </c:strCache>
            </c:strRef>
          </c:tx>
          <c:invertIfNegative val="0"/>
          <c:cat>
            <c:strRef>
              <c:f>Detailled!$A$2:$A$31</c:f>
              <c:strCache>
                <c:ptCount val="28"/>
                <c:pt idx="0">
                  <c:v>Windows SOUTH</c:v>
                </c:pt>
                <c:pt idx="1">
                  <c:v>Windows SOUTH EAST</c:v>
                </c:pt>
                <c:pt idx="2">
                  <c:v>Windows EAST</c:v>
                </c:pt>
                <c:pt idx="3">
                  <c:v>Windows NORTH / NE / NW</c:v>
                </c:pt>
                <c:pt idx="4">
                  <c:v>Windows WEST</c:v>
                </c:pt>
                <c:pt idx="5">
                  <c:v>Windows SOUTHWEST</c:v>
                </c:pt>
                <c:pt idx="6">
                  <c:v>Windows ROOF</c:v>
                </c:pt>
                <c:pt idx="7">
                  <c:v>Windows WALLS WITHOUT SOLAR RADIATION</c:v>
                </c:pt>
                <c:pt idx="8">
                  <c:v>Windows / wall 1</c:v>
                </c:pt>
                <c:pt idx="9">
                  <c:v>Windows / wall 2</c:v>
                </c:pt>
                <c:pt idx="10">
                  <c:v>Windows / wall 3</c:v>
                </c:pt>
                <c:pt idx="11">
                  <c:v>Windows / wall 4</c:v>
                </c:pt>
                <c:pt idx="12">
                  <c:v>Walls SOUTH</c:v>
                </c:pt>
                <c:pt idx="13">
                  <c:v>Walls SOUTH EAST</c:v>
                </c:pt>
                <c:pt idx="14">
                  <c:v>Walls EAST</c:v>
                </c:pt>
                <c:pt idx="15">
                  <c:v>Walls NORTH / NE / NW</c:v>
                </c:pt>
                <c:pt idx="16">
                  <c:v>Walls WEST</c:v>
                </c:pt>
                <c:pt idx="17">
                  <c:v>Walls SOUTHWEST</c:v>
                </c:pt>
                <c:pt idx="18">
                  <c:v>Roof</c:v>
                </c:pt>
                <c:pt idx="19">
                  <c:v>Walls WITHOUT SOLAR RADIATION</c:v>
                </c:pt>
                <c:pt idx="20">
                  <c:v>wall 1</c:v>
                </c:pt>
                <c:pt idx="21">
                  <c:v>wall 2</c:v>
                </c:pt>
                <c:pt idx="22">
                  <c:v>wall 3</c:v>
                </c:pt>
                <c:pt idx="23">
                  <c:v>wall 4</c:v>
                </c:pt>
                <c:pt idx="24">
                  <c:v>Ground</c:v>
                </c:pt>
                <c:pt idx="25">
                  <c:v>Infiltration+Ventilation</c:v>
                </c:pt>
                <c:pt idx="26">
                  <c:v>Solar Gains</c:v>
                </c:pt>
                <c:pt idx="27">
                  <c:v>Internal Gains</c:v>
                </c:pt>
              </c:strCache>
            </c:strRef>
          </c:cat>
          <c:val>
            <c:numRef>
              <c:f>Detailled!$B$2:$B$31</c:f>
              <c:numCache>
                <c:formatCode>#,##0.00</c:formatCode>
                <c:ptCount val="28"/>
                <c:pt idx="0">
                  <c:v>0.17352835450236964</c:v>
                </c:pt>
                <c:pt idx="1">
                  <c:v>0</c:v>
                </c:pt>
                <c:pt idx="2">
                  <c:v>3.0425304822748824</c:v>
                </c:pt>
                <c:pt idx="3">
                  <c:v>4.4538944322274894</c:v>
                </c:pt>
                <c:pt idx="4">
                  <c:v>3.0425304822748824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4.8464951279620863</c:v>
                </c:pt>
                <c:pt idx="13">
                  <c:v>0</c:v>
                </c:pt>
                <c:pt idx="14">
                  <c:v>23.652894779146926</c:v>
                </c:pt>
                <c:pt idx="15">
                  <c:v>11.541653345971564</c:v>
                </c:pt>
                <c:pt idx="16">
                  <c:v>23.652894779146926</c:v>
                </c:pt>
                <c:pt idx="17">
                  <c:v>0</c:v>
                </c:pt>
                <c:pt idx="18">
                  <c:v>17.192694849921018</c:v>
                </c:pt>
                <c:pt idx="19">
                  <c:v>0</c:v>
                </c:pt>
                <c:pt idx="20">
                  <c:v>3.4375140701421807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15.638295355450236</c:v>
                </c:pt>
                <c:pt idx="25">
                  <c:v>18.611348400000004</c:v>
                </c:pt>
              </c:numCache>
            </c:numRef>
          </c:val>
        </c:ser>
        <c:ser>
          <c:idx val="1"/>
          <c:order val="1"/>
          <c:tx>
            <c:strRef>
              <c:f>Detailled!$C$1</c:f>
              <c:strCache>
                <c:ptCount val="1"/>
                <c:pt idx="0">
                  <c:v>Loses Final Case</c:v>
                </c:pt>
              </c:strCache>
            </c:strRef>
          </c:tx>
          <c:invertIfNegative val="0"/>
          <c:cat>
            <c:strRef>
              <c:f>Detailled!$A$2:$A$31</c:f>
              <c:strCache>
                <c:ptCount val="28"/>
                <c:pt idx="0">
                  <c:v>Windows SOUTH</c:v>
                </c:pt>
                <c:pt idx="1">
                  <c:v>Windows SOUTH EAST</c:v>
                </c:pt>
                <c:pt idx="2">
                  <c:v>Windows EAST</c:v>
                </c:pt>
                <c:pt idx="3">
                  <c:v>Windows NORTH / NE / NW</c:v>
                </c:pt>
                <c:pt idx="4">
                  <c:v>Windows WEST</c:v>
                </c:pt>
                <c:pt idx="5">
                  <c:v>Windows SOUTHWEST</c:v>
                </c:pt>
                <c:pt idx="6">
                  <c:v>Windows ROOF</c:v>
                </c:pt>
                <c:pt idx="7">
                  <c:v>Windows WALLS WITHOUT SOLAR RADIATION</c:v>
                </c:pt>
                <c:pt idx="8">
                  <c:v>Windows / wall 1</c:v>
                </c:pt>
                <c:pt idx="9">
                  <c:v>Windows / wall 2</c:v>
                </c:pt>
                <c:pt idx="10">
                  <c:v>Windows / wall 3</c:v>
                </c:pt>
                <c:pt idx="11">
                  <c:v>Windows / wall 4</c:v>
                </c:pt>
                <c:pt idx="12">
                  <c:v>Walls SOUTH</c:v>
                </c:pt>
                <c:pt idx="13">
                  <c:v>Walls SOUTH EAST</c:v>
                </c:pt>
                <c:pt idx="14">
                  <c:v>Walls EAST</c:v>
                </c:pt>
                <c:pt idx="15">
                  <c:v>Walls NORTH / NE / NW</c:v>
                </c:pt>
                <c:pt idx="16">
                  <c:v>Walls WEST</c:v>
                </c:pt>
                <c:pt idx="17">
                  <c:v>Walls SOUTHWEST</c:v>
                </c:pt>
                <c:pt idx="18">
                  <c:v>Roof</c:v>
                </c:pt>
                <c:pt idx="19">
                  <c:v>Walls WITHOUT SOLAR RADIATION</c:v>
                </c:pt>
                <c:pt idx="20">
                  <c:v>wall 1</c:v>
                </c:pt>
                <c:pt idx="21">
                  <c:v>wall 2</c:v>
                </c:pt>
                <c:pt idx="22">
                  <c:v>wall 3</c:v>
                </c:pt>
                <c:pt idx="23">
                  <c:v>wall 4</c:v>
                </c:pt>
                <c:pt idx="24">
                  <c:v>Ground</c:v>
                </c:pt>
                <c:pt idx="25">
                  <c:v>Infiltration+Ventilation</c:v>
                </c:pt>
                <c:pt idx="26">
                  <c:v>Solar Gains</c:v>
                </c:pt>
                <c:pt idx="27">
                  <c:v>Internal Gains</c:v>
                </c:pt>
              </c:strCache>
            </c:strRef>
          </c:cat>
          <c:val>
            <c:numRef>
              <c:f>Detailled!$C$2:$C$31</c:f>
              <c:numCache>
                <c:formatCode>#,##0.00</c:formatCode>
                <c:ptCount val="28"/>
                <c:pt idx="0">
                  <c:v>0.17352835450236964</c:v>
                </c:pt>
                <c:pt idx="1">
                  <c:v>0</c:v>
                </c:pt>
                <c:pt idx="2">
                  <c:v>3.0425304822748824</c:v>
                </c:pt>
                <c:pt idx="3">
                  <c:v>4.4538944322274894</c:v>
                </c:pt>
                <c:pt idx="4">
                  <c:v>3.0425304822748824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4.8464951279620863</c:v>
                </c:pt>
                <c:pt idx="13">
                  <c:v>0</c:v>
                </c:pt>
                <c:pt idx="14">
                  <c:v>23.652894779146926</c:v>
                </c:pt>
                <c:pt idx="15">
                  <c:v>11.541653345971564</c:v>
                </c:pt>
                <c:pt idx="16">
                  <c:v>23.652894779146926</c:v>
                </c:pt>
                <c:pt idx="17">
                  <c:v>0</c:v>
                </c:pt>
                <c:pt idx="18">
                  <c:v>17.192694849921018</c:v>
                </c:pt>
                <c:pt idx="19">
                  <c:v>0</c:v>
                </c:pt>
                <c:pt idx="20">
                  <c:v>3.4375140701421807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15.638295355450236</c:v>
                </c:pt>
                <c:pt idx="25">
                  <c:v>18.611348400000004</c:v>
                </c:pt>
              </c:numCache>
            </c:numRef>
          </c:val>
        </c:ser>
        <c:ser>
          <c:idx val="2"/>
          <c:order val="2"/>
          <c:tx>
            <c:strRef>
              <c:f>Detailled!$D$1</c:f>
              <c:strCache>
                <c:ptCount val="1"/>
                <c:pt idx="0">
                  <c:v>Gains Initial case</c:v>
                </c:pt>
              </c:strCache>
            </c:strRef>
          </c:tx>
          <c:invertIfNegative val="0"/>
          <c:cat>
            <c:strRef>
              <c:f>Detailled!$A$2:$A$31</c:f>
              <c:strCache>
                <c:ptCount val="28"/>
                <c:pt idx="0">
                  <c:v>Windows SOUTH</c:v>
                </c:pt>
                <c:pt idx="1">
                  <c:v>Windows SOUTH EAST</c:v>
                </c:pt>
                <c:pt idx="2">
                  <c:v>Windows EAST</c:v>
                </c:pt>
                <c:pt idx="3">
                  <c:v>Windows NORTH / NE / NW</c:v>
                </c:pt>
                <c:pt idx="4">
                  <c:v>Windows WEST</c:v>
                </c:pt>
                <c:pt idx="5">
                  <c:v>Windows SOUTHWEST</c:v>
                </c:pt>
                <c:pt idx="6">
                  <c:v>Windows ROOF</c:v>
                </c:pt>
                <c:pt idx="7">
                  <c:v>Windows WALLS WITHOUT SOLAR RADIATION</c:v>
                </c:pt>
                <c:pt idx="8">
                  <c:v>Windows / wall 1</c:v>
                </c:pt>
                <c:pt idx="9">
                  <c:v>Windows / wall 2</c:v>
                </c:pt>
                <c:pt idx="10">
                  <c:v>Windows / wall 3</c:v>
                </c:pt>
                <c:pt idx="11">
                  <c:v>Windows / wall 4</c:v>
                </c:pt>
                <c:pt idx="12">
                  <c:v>Walls SOUTH</c:v>
                </c:pt>
                <c:pt idx="13">
                  <c:v>Walls SOUTH EAST</c:v>
                </c:pt>
                <c:pt idx="14">
                  <c:v>Walls EAST</c:v>
                </c:pt>
                <c:pt idx="15">
                  <c:v>Walls NORTH / NE / NW</c:v>
                </c:pt>
                <c:pt idx="16">
                  <c:v>Walls WEST</c:v>
                </c:pt>
                <c:pt idx="17">
                  <c:v>Walls SOUTHWEST</c:v>
                </c:pt>
                <c:pt idx="18">
                  <c:v>Roof</c:v>
                </c:pt>
                <c:pt idx="19">
                  <c:v>Walls WITHOUT SOLAR RADIATION</c:v>
                </c:pt>
                <c:pt idx="20">
                  <c:v>wall 1</c:v>
                </c:pt>
                <c:pt idx="21">
                  <c:v>wall 2</c:v>
                </c:pt>
                <c:pt idx="22">
                  <c:v>wall 3</c:v>
                </c:pt>
                <c:pt idx="23">
                  <c:v>wall 4</c:v>
                </c:pt>
                <c:pt idx="24">
                  <c:v>Ground</c:v>
                </c:pt>
                <c:pt idx="25">
                  <c:v>Infiltration+Ventilation</c:v>
                </c:pt>
                <c:pt idx="26">
                  <c:v>Solar Gains</c:v>
                </c:pt>
                <c:pt idx="27">
                  <c:v>Internal Gains</c:v>
                </c:pt>
              </c:strCache>
            </c:strRef>
          </c:cat>
          <c:val>
            <c:numRef>
              <c:f>Detailled!$D$2:$D$31</c:f>
              <c:numCache>
                <c:formatCode>#,##0.00</c:formatCode>
                <c:ptCount val="28"/>
                <c:pt idx="0">
                  <c:v>-2.28063104789278E-3</c:v>
                </c:pt>
                <c:pt idx="1">
                  <c:v>0</c:v>
                </c:pt>
                <c:pt idx="2">
                  <c:v>-3.9987064373053417E-2</c:v>
                </c:pt>
                <c:pt idx="3">
                  <c:v>-5.8536196895914695E-2</c:v>
                </c:pt>
                <c:pt idx="4">
                  <c:v>-3.9987064373053417E-2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-6.3696029931180426E-2</c:v>
                </c:pt>
                <c:pt idx="13">
                  <c:v>0</c:v>
                </c:pt>
                <c:pt idx="14">
                  <c:v>-0.31086289246825588</c:v>
                </c:pt>
                <c:pt idx="15">
                  <c:v>-0.15168848365054308</c:v>
                </c:pt>
                <c:pt idx="16">
                  <c:v>-0.31086289246825588</c:v>
                </c:pt>
                <c:pt idx="17">
                  <c:v>0</c:v>
                </c:pt>
                <c:pt idx="18">
                  <c:v>-0.22595842497394694</c:v>
                </c:pt>
                <c:pt idx="19">
                  <c:v>0</c:v>
                </c:pt>
                <c:pt idx="20">
                  <c:v>-4.5178215043971265E-2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-0.24460336252200213</c:v>
                </c:pt>
                <c:pt idx="26">
                  <c:v>-13.845813851347327</c:v>
                </c:pt>
                <c:pt idx="27">
                  <c:v>-8.8952685671272551</c:v>
                </c:pt>
              </c:numCache>
            </c:numRef>
          </c:val>
        </c:ser>
        <c:ser>
          <c:idx val="3"/>
          <c:order val="3"/>
          <c:tx>
            <c:strRef>
              <c:f>Detailled!$E$1</c:f>
              <c:strCache>
                <c:ptCount val="1"/>
                <c:pt idx="0">
                  <c:v>Gains Final case</c:v>
                </c:pt>
              </c:strCache>
            </c:strRef>
          </c:tx>
          <c:invertIfNegative val="0"/>
          <c:cat>
            <c:strRef>
              <c:f>Detailled!$A$2:$A$31</c:f>
              <c:strCache>
                <c:ptCount val="28"/>
                <c:pt idx="0">
                  <c:v>Windows SOUTH</c:v>
                </c:pt>
                <c:pt idx="1">
                  <c:v>Windows SOUTH EAST</c:v>
                </c:pt>
                <c:pt idx="2">
                  <c:v>Windows EAST</c:v>
                </c:pt>
                <c:pt idx="3">
                  <c:v>Windows NORTH / NE / NW</c:v>
                </c:pt>
                <c:pt idx="4">
                  <c:v>Windows WEST</c:v>
                </c:pt>
                <c:pt idx="5">
                  <c:v>Windows SOUTHWEST</c:v>
                </c:pt>
                <c:pt idx="6">
                  <c:v>Windows ROOF</c:v>
                </c:pt>
                <c:pt idx="7">
                  <c:v>Windows WALLS WITHOUT SOLAR RADIATION</c:v>
                </c:pt>
                <c:pt idx="8">
                  <c:v>Windows / wall 1</c:v>
                </c:pt>
                <c:pt idx="9">
                  <c:v>Windows / wall 2</c:v>
                </c:pt>
                <c:pt idx="10">
                  <c:v>Windows / wall 3</c:v>
                </c:pt>
                <c:pt idx="11">
                  <c:v>Windows / wall 4</c:v>
                </c:pt>
                <c:pt idx="12">
                  <c:v>Walls SOUTH</c:v>
                </c:pt>
                <c:pt idx="13">
                  <c:v>Walls SOUTH EAST</c:v>
                </c:pt>
                <c:pt idx="14">
                  <c:v>Walls EAST</c:v>
                </c:pt>
                <c:pt idx="15">
                  <c:v>Walls NORTH / NE / NW</c:v>
                </c:pt>
                <c:pt idx="16">
                  <c:v>Walls WEST</c:v>
                </c:pt>
                <c:pt idx="17">
                  <c:v>Walls SOUTHWEST</c:v>
                </c:pt>
                <c:pt idx="18">
                  <c:v>Roof</c:v>
                </c:pt>
                <c:pt idx="19">
                  <c:v>Walls WITHOUT SOLAR RADIATION</c:v>
                </c:pt>
                <c:pt idx="20">
                  <c:v>wall 1</c:v>
                </c:pt>
                <c:pt idx="21">
                  <c:v>wall 2</c:v>
                </c:pt>
                <c:pt idx="22">
                  <c:v>wall 3</c:v>
                </c:pt>
                <c:pt idx="23">
                  <c:v>wall 4</c:v>
                </c:pt>
                <c:pt idx="24">
                  <c:v>Ground</c:v>
                </c:pt>
                <c:pt idx="25">
                  <c:v>Infiltration+Ventilation</c:v>
                </c:pt>
                <c:pt idx="26">
                  <c:v>Solar Gains</c:v>
                </c:pt>
                <c:pt idx="27">
                  <c:v>Internal Gains</c:v>
                </c:pt>
              </c:strCache>
            </c:strRef>
          </c:cat>
          <c:val>
            <c:numRef>
              <c:f>Detailled!$E$2:$E$31</c:f>
              <c:numCache>
                <c:formatCode>#,##0.00</c:formatCode>
                <c:ptCount val="28"/>
                <c:pt idx="0">
                  <c:v>-2.28063104789278E-3</c:v>
                </c:pt>
                <c:pt idx="1">
                  <c:v>0</c:v>
                </c:pt>
                <c:pt idx="2">
                  <c:v>-3.9987064373053417E-2</c:v>
                </c:pt>
                <c:pt idx="3">
                  <c:v>-5.8536196895914695E-2</c:v>
                </c:pt>
                <c:pt idx="4">
                  <c:v>-3.9987064373053417E-2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-6.3696029931180426E-2</c:v>
                </c:pt>
                <c:pt idx="13">
                  <c:v>0</c:v>
                </c:pt>
                <c:pt idx="14">
                  <c:v>-0.31086289246825588</c:v>
                </c:pt>
                <c:pt idx="15">
                  <c:v>-0.15168848365054308</c:v>
                </c:pt>
                <c:pt idx="16">
                  <c:v>-0.31086289246825588</c:v>
                </c:pt>
                <c:pt idx="17">
                  <c:v>0</c:v>
                </c:pt>
                <c:pt idx="18">
                  <c:v>-0.22595842497394694</c:v>
                </c:pt>
                <c:pt idx="19">
                  <c:v>0</c:v>
                </c:pt>
                <c:pt idx="20">
                  <c:v>-4.5178215043971265E-2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-0.24460336252200213</c:v>
                </c:pt>
                <c:pt idx="26">
                  <c:v>-13.845813851347327</c:v>
                </c:pt>
                <c:pt idx="27">
                  <c:v>-8.8952685671272551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692656"/>
        <c:axId val="546386616"/>
      </c:barChart>
      <c:catAx>
        <c:axId val="729692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46386616"/>
        <c:crosses val="autoZero"/>
        <c:auto val="1"/>
        <c:lblAlgn val="ctr"/>
        <c:lblOffset val="100"/>
        <c:noMultiLvlLbl val="0"/>
      </c:catAx>
      <c:valAx>
        <c:axId val="54638661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#,##0.00" sourceLinked="1"/>
        <c:majorTickMark val="out"/>
        <c:minorTickMark val="none"/>
        <c:tickLblPos val="nextTo"/>
        <c:crossAx val="729692656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s-ES" sz="1200">
                <a:latin typeface="Arial" pitchFamily="34" charset="0"/>
                <a:cs typeface="Arial" pitchFamily="34" charset="0"/>
              </a:rPr>
              <a:t>Demand heat</a:t>
            </a:r>
            <a:r>
              <a:rPr lang="es-ES" sz="1200" baseline="0">
                <a:latin typeface="Arial" pitchFamily="34" charset="0"/>
                <a:cs typeface="Arial" pitchFamily="34" charset="0"/>
              </a:rPr>
              <a:t> balance (cooling) kWh/m2</a:t>
            </a:r>
            <a:endParaRPr lang="es-E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7208272492376032"/>
          <c:y val="1.253384920595104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ComparacionRehabilitacion!$B$11</c:f>
              <c:strCache>
                <c:ptCount val="1"/>
                <c:pt idx="0">
                  <c:v>Perdidas Situación Inicial</c:v>
                </c:pt>
              </c:strCache>
            </c:strRef>
          </c:tx>
          <c:invertIfNegative val="0"/>
          <c:cat>
            <c:strRef>
              <c:f>ComparacionRehabilitacion!$A$12:$A$17</c:f>
              <c:strCache>
                <c:ptCount val="6"/>
                <c:pt idx="0">
                  <c:v>Ventanas</c:v>
                </c:pt>
                <c:pt idx="1">
                  <c:v>Cerramientos</c:v>
                </c:pt>
                <c:pt idx="2">
                  <c:v>Suelo</c:v>
                </c:pt>
                <c:pt idx="3">
                  <c:v>Infitración+Ventilación</c:v>
                </c:pt>
                <c:pt idx="4">
                  <c:v>Ganancias solares</c:v>
                </c:pt>
                <c:pt idx="5">
                  <c:v>Ganancias internas</c:v>
                </c:pt>
              </c:strCache>
            </c:strRef>
          </c:cat>
          <c:val>
            <c:numRef>
              <c:f>ComparacionRehabilitacion!$B$12:$B$17</c:f>
              <c:numCache>
                <c:formatCode>0</c:formatCode>
                <c:ptCount val="6"/>
                <c:pt idx="0">
                  <c:v>-2.0534869470003763</c:v>
                </c:pt>
                <c:pt idx="1">
                  <c:v>-16.164181818505583</c:v>
                </c:pt>
                <c:pt idx="2">
                  <c:v>-3.625868964467049</c:v>
                </c:pt>
                <c:pt idx="3">
                  <c:v>-21.405770254304173</c:v>
                </c:pt>
              </c:numCache>
            </c:numRef>
          </c:val>
        </c:ser>
        <c:ser>
          <c:idx val="1"/>
          <c:order val="1"/>
          <c:tx>
            <c:strRef>
              <c:f>ComparacionRehabilitacion!$C$11</c:f>
              <c:strCache>
                <c:ptCount val="1"/>
                <c:pt idx="0">
                  <c:v>Perdidas Situación Final</c:v>
                </c:pt>
              </c:strCache>
            </c:strRef>
          </c:tx>
          <c:invertIfNegative val="0"/>
          <c:cat>
            <c:strRef>
              <c:f>ComparacionRehabilitacion!$A$12:$A$17</c:f>
              <c:strCache>
                <c:ptCount val="6"/>
                <c:pt idx="0">
                  <c:v>Ventanas</c:v>
                </c:pt>
                <c:pt idx="1">
                  <c:v>Cerramientos</c:v>
                </c:pt>
                <c:pt idx="2">
                  <c:v>Suelo</c:v>
                </c:pt>
                <c:pt idx="3">
                  <c:v>Infitración+Ventilación</c:v>
                </c:pt>
                <c:pt idx="4">
                  <c:v>Ganancias solares</c:v>
                </c:pt>
                <c:pt idx="5">
                  <c:v>Ganancias internas</c:v>
                </c:pt>
              </c:strCache>
            </c:strRef>
          </c:cat>
          <c:val>
            <c:numRef>
              <c:f>ComparacionRehabilitacion!$C$12:$C$17</c:f>
              <c:numCache>
                <c:formatCode>0</c:formatCode>
                <c:ptCount val="6"/>
                <c:pt idx="0">
                  <c:v>-2.0534869470003763</c:v>
                </c:pt>
                <c:pt idx="1">
                  <c:v>-16.164181818505583</c:v>
                </c:pt>
                <c:pt idx="2">
                  <c:v>-3.625868964467049</c:v>
                </c:pt>
                <c:pt idx="3">
                  <c:v>-21.405770254304173</c:v>
                </c:pt>
              </c:numCache>
            </c:numRef>
          </c:val>
        </c:ser>
        <c:ser>
          <c:idx val="2"/>
          <c:order val="2"/>
          <c:tx>
            <c:strRef>
              <c:f>ComparacionRehabilitacion!$D$11</c:f>
              <c:strCache>
                <c:ptCount val="1"/>
                <c:pt idx="0">
                  <c:v>Ganancias Situación Inicial</c:v>
                </c:pt>
              </c:strCache>
            </c:strRef>
          </c:tx>
          <c:invertIfNegative val="0"/>
          <c:cat>
            <c:strRef>
              <c:f>ComparacionRehabilitacion!$A$12:$A$17</c:f>
              <c:strCache>
                <c:ptCount val="6"/>
                <c:pt idx="0">
                  <c:v>Ventanas</c:v>
                </c:pt>
                <c:pt idx="1">
                  <c:v>Cerramientos</c:v>
                </c:pt>
                <c:pt idx="2">
                  <c:v>Suelo</c:v>
                </c:pt>
                <c:pt idx="3">
                  <c:v>Infitración+Ventilación</c:v>
                </c:pt>
                <c:pt idx="4">
                  <c:v>Ganancias solares</c:v>
                </c:pt>
                <c:pt idx="5">
                  <c:v>Ganancias internas</c:v>
                </c:pt>
              </c:strCache>
            </c:strRef>
          </c:cat>
          <c:val>
            <c:numRef>
              <c:f>ComparacionRehabilitacion!$D$12:$D$17</c:f>
              <c:numCache>
                <c:formatCode>0</c:formatCode>
                <c:ptCount val="6"/>
                <c:pt idx="0">
                  <c:v>0.1877899912796209</c:v>
                </c:pt>
                <c:pt idx="1">
                  <c:v>1.4782034856240132</c:v>
                </c:pt>
                <c:pt idx="2">
                  <c:v>0</c:v>
                </c:pt>
                <c:pt idx="3">
                  <c:v>0.32625720000000014</c:v>
                </c:pt>
                <c:pt idx="4">
                  <c:v>65.178841969813419</c:v>
                </c:pt>
                <c:pt idx="5">
                  <c:v>7.3440000000000012</c:v>
                </c:pt>
              </c:numCache>
            </c:numRef>
          </c:val>
        </c:ser>
        <c:ser>
          <c:idx val="3"/>
          <c:order val="3"/>
          <c:tx>
            <c:strRef>
              <c:f>ComparacionRehabilitacion!$E$11</c:f>
              <c:strCache>
                <c:ptCount val="1"/>
                <c:pt idx="0">
                  <c:v>Ganancias Situación Final</c:v>
                </c:pt>
              </c:strCache>
            </c:strRef>
          </c:tx>
          <c:invertIfNegative val="0"/>
          <c:cat>
            <c:strRef>
              <c:f>ComparacionRehabilitacion!$A$12:$A$17</c:f>
              <c:strCache>
                <c:ptCount val="6"/>
                <c:pt idx="0">
                  <c:v>Ventanas</c:v>
                </c:pt>
                <c:pt idx="1">
                  <c:v>Cerramientos</c:v>
                </c:pt>
                <c:pt idx="2">
                  <c:v>Suelo</c:v>
                </c:pt>
                <c:pt idx="3">
                  <c:v>Infitración+Ventilación</c:v>
                </c:pt>
                <c:pt idx="4">
                  <c:v>Ganancias solares</c:v>
                </c:pt>
                <c:pt idx="5">
                  <c:v>Ganancias internas</c:v>
                </c:pt>
              </c:strCache>
            </c:strRef>
          </c:cat>
          <c:val>
            <c:numRef>
              <c:f>ComparacionRehabilitacion!$E$12:$E$17</c:f>
              <c:numCache>
                <c:formatCode>0</c:formatCode>
                <c:ptCount val="6"/>
                <c:pt idx="0">
                  <c:v>0.1877899912796209</c:v>
                </c:pt>
                <c:pt idx="1">
                  <c:v>1.4782034856240132</c:v>
                </c:pt>
                <c:pt idx="2">
                  <c:v>0</c:v>
                </c:pt>
                <c:pt idx="3">
                  <c:v>0.32625720000000014</c:v>
                </c:pt>
                <c:pt idx="4">
                  <c:v>65.178841969813419</c:v>
                </c:pt>
                <c:pt idx="5">
                  <c:v>7.3440000000000012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387400"/>
        <c:axId val="546389360"/>
      </c:barChart>
      <c:catAx>
        <c:axId val="546387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546389360"/>
        <c:crosses val="autoZero"/>
        <c:auto val="1"/>
        <c:lblAlgn val="ctr"/>
        <c:lblOffset val="100"/>
        <c:noMultiLvlLbl val="0"/>
      </c:catAx>
      <c:valAx>
        <c:axId val="5463893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0" sourceLinked="1"/>
        <c:majorTickMark val="out"/>
        <c:minorTickMark val="none"/>
        <c:tickLblPos val="nextTo"/>
        <c:crossAx val="54638740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 sz="1100">
                <a:latin typeface="Arial" pitchFamily="34" charset="0"/>
                <a:cs typeface="Arial" pitchFamily="34" charset="0"/>
              </a:rPr>
              <a:t>Detailed demand balance (cooling) kWh/m2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Detailled!$B$34</c:f>
              <c:strCache>
                <c:ptCount val="1"/>
                <c:pt idx="0">
                  <c:v>Losses Initial case</c:v>
                </c:pt>
              </c:strCache>
            </c:strRef>
          </c:tx>
          <c:invertIfNegative val="0"/>
          <c:cat>
            <c:strRef>
              <c:f>Detailled!$A$35:$A$64</c:f>
              <c:strCache>
                <c:ptCount val="28"/>
                <c:pt idx="0">
                  <c:v>Windows SOUTH</c:v>
                </c:pt>
                <c:pt idx="1">
                  <c:v>Windows SOUTH EAST</c:v>
                </c:pt>
                <c:pt idx="2">
                  <c:v>Windows EAST</c:v>
                </c:pt>
                <c:pt idx="3">
                  <c:v>Windows NORTH / NE / NW</c:v>
                </c:pt>
                <c:pt idx="4">
                  <c:v>Windows WEST</c:v>
                </c:pt>
                <c:pt idx="5">
                  <c:v>Windows SOUTHWEST</c:v>
                </c:pt>
                <c:pt idx="6">
                  <c:v>Windows ROOF</c:v>
                </c:pt>
                <c:pt idx="7">
                  <c:v>Windows WALLS WITHOUT SOLAR RADIATION</c:v>
                </c:pt>
                <c:pt idx="8">
                  <c:v>Windows / wall 1</c:v>
                </c:pt>
                <c:pt idx="9">
                  <c:v>Windows / </c:v>
                </c:pt>
                <c:pt idx="10">
                  <c:v>Windows / </c:v>
                </c:pt>
                <c:pt idx="11">
                  <c:v>Windows / </c:v>
                </c:pt>
                <c:pt idx="12">
                  <c:v>Walls SOUTH</c:v>
                </c:pt>
                <c:pt idx="13">
                  <c:v>Walls SOUTH EAST</c:v>
                </c:pt>
                <c:pt idx="14">
                  <c:v>Walls EAST</c:v>
                </c:pt>
                <c:pt idx="15">
                  <c:v>Walls NORTH / NE / NW</c:v>
                </c:pt>
                <c:pt idx="16">
                  <c:v>Walls WEST</c:v>
                </c:pt>
                <c:pt idx="17">
                  <c:v>Walls SOUTHWEST</c:v>
                </c:pt>
                <c:pt idx="18">
                  <c:v>Roof</c:v>
                </c:pt>
                <c:pt idx="19">
                  <c:v>Walls WITHOUT SOLAR RADIATION</c:v>
                </c:pt>
                <c:pt idx="20">
                  <c:v>wall 1</c:v>
                </c:pt>
                <c:pt idx="21">
                  <c:v>wall 2</c:v>
                </c:pt>
                <c:pt idx="22">
                  <c:v>wall 3</c:v>
                </c:pt>
                <c:pt idx="23">
                  <c:v>wall 4</c:v>
                </c:pt>
                <c:pt idx="24">
                  <c:v>Ground</c:v>
                </c:pt>
                <c:pt idx="25">
                  <c:v>Infiltration+Ventilation</c:v>
                </c:pt>
                <c:pt idx="26">
                  <c:v>Solar Gains</c:v>
                </c:pt>
                <c:pt idx="27">
                  <c:v>Internal Gains</c:v>
                </c:pt>
              </c:strCache>
            </c:strRef>
          </c:cat>
          <c:val>
            <c:numRef>
              <c:f>Detailled!$B$35:$B$64</c:f>
              <c:numCache>
                <c:formatCode>#,##0.00</c:formatCode>
                <c:ptCount val="28"/>
                <c:pt idx="0">
                  <c:v>-3.3263827435211279E-2</c:v>
                </c:pt>
                <c:pt idx="1">
                  <c:v>0</c:v>
                </c:pt>
                <c:pt idx="2">
                  <c:v>-0.58322577436403777</c:v>
                </c:pt>
                <c:pt idx="3">
                  <c:v>-0.85377157083708954</c:v>
                </c:pt>
                <c:pt idx="4">
                  <c:v>-0.58322577436403777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-0.92902959902107252</c:v>
                </c:pt>
                <c:pt idx="13">
                  <c:v>0</c:v>
                </c:pt>
                <c:pt idx="14">
                  <c:v>-4.5340475482121221</c:v>
                </c:pt>
                <c:pt idx="15">
                  <c:v>-2.2124313131326572</c:v>
                </c:pt>
                <c:pt idx="16">
                  <c:v>-4.5340475482121221</c:v>
                </c:pt>
                <c:pt idx="17">
                  <c:v>0</c:v>
                </c:pt>
                <c:pt idx="18">
                  <c:v>-3.2956852283538969</c:v>
                </c:pt>
                <c:pt idx="19">
                  <c:v>0</c:v>
                </c:pt>
                <c:pt idx="20">
                  <c:v>-0.65894058157370927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-3.625868964467049</c:v>
                </c:pt>
                <c:pt idx="25">
                  <c:v>-21.405770254304173</c:v>
                </c:pt>
              </c:numCache>
            </c:numRef>
          </c:val>
        </c:ser>
        <c:ser>
          <c:idx val="1"/>
          <c:order val="1"/>
          <c:tx>
            <c:strRef>
              <c:f>Detailled!$C$34</c:f>
              <c:strCache>
                <c:ptCount val="1"/>
                <c:pt idx="0">
                  <c:v>Loses Final Case</c:v>
                </c:pt>
              </c:strCache>
            </c:strRef>
          </c:tx>
          <c:invertIfNegative val="0"/>
          <c:cat>
            <c:strRef>
              <c:f>Detailled!$A$35:$A$64</c:f>
              <c:strCache>
                <c:ptCount val="28"/>
                <c:pt idx="0">
                  <c:v>Windows SOUTH</c:v>
                </c:pt>
                <c:pt idx="1">
                  <c:v>Windows SOUTH EAST</c:v>
                </c:pt>
                <c:pt idx="2">
                  <c:v>Windows EAST</c:v>
                </c:pt>
                <c:pt idx="3">
                  <c:v>Windows NORTH / NE / NW</c:v>
                </c:pt>
                <c:pt idx="4">
                  <c:v>Windows WEST</c:v>
                </c:pt>
                <c:pt idx="5">
                  <c:v>Windows SOUTHWEST</c:v>
                </c:pt>
                <c:pt idx="6">
                  <c:v>Windows ROOF</c:v>
                </c:pt>
                <c:pt idx="7">
                  <c:v>Windows WALLS WITHOUT SOLAR RADIATION</c:v>
                </c:pt>
                <c:pt idx="8">
                  <c:v>Windows / wall 1</c:v>
                </c:pt>
                <c:pt idx="9">
                  <c:v>Windows / </c:v>
                </c:pt>
                <c:pt idx="10">
                  <c:v>Windows / </c:v>
                </c:pt>
                <c:pt idx="11">
                  <c:v>Windows / </c:v>
                </c:pt>
                <c:pt idx="12">
                  <c:v>Walls SOUTH</c:v>
                </c:pt>
                <c:pt idx="13">
                  <c:v>Walls SOUTH EAST</c:v>
                </c:pt>
                <c:pt idx="14">
                  <c:v>Walls EAST</c:v>
                </c:pt>
                <c:pt idx="15">
                  <c:v>Walls NORTH / NE / NW</c:v>
                </c:pt>
                <c:pt idx="16">
                  <c:v>Walls WEST</c:v>
                </c:pt>
                <c:pt idx="17">
                  <c:v>Walls SOUTHWEST</c:v>
                </c:pt>
                <c:pt idx="18">
                  <c:v>Roof</c:v>
                </c:pt>
                <c:pt idx="19">
                  <c:v>Walls WITHOUT SOLAR RADIATION</c:v>
                </c:pt>
                <c:pt idx="20">
                  <c:v>wall 1</c:v>
                </c:pt>
                <c:pt idx="21">
                  <c:v>wall 2</c:v>
                </c:pt>
                <c:pt idx="22">
                  <c:v>wall 3</c:v>
                </c:pt>
                <c:pt idx="23">
                  <c:v>wall 4</c:v>
                </c:pt>
                <c:pt idx="24">
                  <c:v>Ground</c:v>
                </c:pt>
                <c:pt idx="25">
                  <c:v>Infiltration+Ventilation</c:v>
                </c:pt>
                <c:pt idx="26">
                  <c:v>Solar Gains</c:v>
                </c:pt>
                <c:pt idx="27">
                  <c:v>Internal Gains</c:v>
                </c:pt>
              </c:strCache>
            </c:strRef>
          </c:cat>
          <c:val>
            <c:numRef>
              <c:f>Detailled!$C$35:$C$64</c:f>
              <c:numCache>
                <c:formatCode>#,##0.00</c:formatCode>
                <c:ptCount val="28"/>
                <c:pt idx="0">
                  <c:v>-3.3263827435211279E-2</c:v>
                </c:pt>
                <c:pt idx="1">
                  <c:v>0</c:v>
                </c:pt>
                <c:pt idx="2">
                  <c:v>-0.58322577436403777</c:v>
                </c:pt>
                <c:pt idx="3">
                  <c:v>-0.85377157083708954</c:v>
                </c:pt>
                <c:pt idx="4">
                  <c:v>-0.58322577436403777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-0.92902959902107252</c:v>
                </c:pt>
                <c:pt idx="13">
                  <c:v>0</c:v>
                </c:pt>
                <c:pt idx="14">
                  <c:v>-4.5340475482121221</c:v>
                </c:pt>
                <c:pt idx="15">
                  <c:v>-2.2124313131326572</c:v>
                </c:pt>
                <c:pt idx="16">
                  <c:v>-4.5340475482121221</c:v>
                </c:pt>
                <c:pt idx="17">
                  <c:v>0</c:v>
                </c:pt>
                <c:pt idx="18">
                  <c:v>-3.2956852283538969</c:v>
                </c:pt>
                <c:pt idx="19">
                  <c:v>0</c:v>
                </c:pt>
                <c:pt idx="20">
                  <c:v>-0.65894058157370927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-3.625868964467049</c:v>
                </c:pt>
                <c:pt idx="25">
                  <c:v>-21.405770254304173</c:v>
                </c:pt>
              </c:numCache>
            </c:numRef>
          </c:val>
        </c:ser>
        <c:ser>
          <c:idx val="2"/>
          <c:order val="2"/>
          <c:tx>
            <c:strRef>
              <c:f>Detailled!$D$34</c:f>
              <c:strCache>
                <c:ptCount val="1"/>
                <c:pt idx="0">
                  <c:v>Gains Initial case</c:v>
                </c:pt>
              </c:strCache>
            </c:strRef>
          </c:tx>
          <c:invertIfNegative val="0"/>
          <c:cat>
            <c:strRef>
              <c:f>Detailled!$A$35:$A$64</c:f>
              <c:strCache>
                <c:ptCount val="28"/>
                <c:pt idx="0">
                  <c:v>Windows SOUTH</c:v>
                </c:pt>
                <c:pt idx="1">
                  <c:v>Windows SOUTH EAST</c:v>
                </c:pt>
                <c:pt idx="2">
                  <c:v>Windows EAST</c:v>
                </c:pt>
                <c:pt idx="3">
                  <c:v>Windows NORTH / NE / NW</c:v>
                </c:pt>
                <c:pt idx="4">
                  <c:v>Windows WEST</c:v>
                </c:pt>
                <c:pt idx="5">
                  <c:v>Windows SOUTHWEST</c:v>
                </c:pt>
                <c:pt idx="6">
                  <c:v>Windows ROOF</c:v>
                </c:pt>
                <c:pt idx="7">
                  <c:v>Windows WALLS WITHOUT SOLAR RADIATION</c:v>
                </c:pt>
                <c:pt idx="8">
                  <c:v>Windows / wall 1</c:v>
                </c:pt>
                <c:pt idx="9">
                  <c:v>Windows / </c:v>
                </c:pt>
                <c:pt idx="10">
                  <c:v>Windows / </c:v>
                </c:pt>
                <c:pt idx="11">
                  <c:v>Windows / </c:v>
                </c:pt>
                <c:pt idx="12">
                  <c:v>Walls SOUTH</c:v>
                </c:pt>
                <c:pt idx="13">
                  <c:v>Walls SOUTH EAST</c:v>
                </c:pt>
                <c:pt idx="14">
                  <c:v>Walls EAST</c:v>
                </c:pt>
                <c:pt idx="15">
                  <c:v>Walls NORTH / NE / NW</c:v>
                </c:pt>
                <c:pt idx="16">
                  <c:v>Walls WEST</c:v>
                </c:pt>
                <c:pt idx="17">
                  <c:v>Walls SOUTHWEST</c:v>
                </c:pt>
                <c:pt idx="18">
                  <c:v>Roof</c:v>
                </c:pt>
                <c:pt idx="19">
                  <c:v>Walls WITHOUT SOLAR RADIATION</c:v>
                </c:pt>
                <c:pt idx="20">
                  <c:v>wall 1</c:v>
                </c:pt>
                <c:pt idx="21">
                  <c:v>wall 2</c:v>
                </c:pt>
                <c:pt idx="22">
                  <c:v>wall 3</c:v>
                </c:pt>
                <c:pt idx="23">
                  <c:v>wall 4</c:v>
                </c:pt>
                <c:pt idx="24">
                  <c:v>Ground</c:v>
                </c:pt>
                <c:pt idx="25">
                  <c:v>Infiltration+Ventilation</c:v>
                </c:pt>
                <c:pt idx="26">
                  <c:v>Solar Gains</c:v>
                </c:pt>
                <c:pt idx="27">
                  <c:v>Internal Gains</c:v>
                </c:pt>
              </c:strCache>
            </c:strRef>
          </c:cat>
          <c:val>
            <c:numRef>
              <c:f>Detailled!$D$35:$D$64</c:f>
              <c:numCache>
                <c:formatCode>#,##0.00</c:formatCode>
                <c:ptCount val="28"/>
                <c:pt idx="0">
                  <c:v>3.0419545023696688E-3</c:v>
                </c:pt>
                <c:pt idx="1">
                  <c:v>0</c:v>
                </c:pt>
                <c:pt idx="2">
                  <c:v>5.3335602274881523E-2</c:v>
                </c:pt>
                <c:pt idx="3">
                  <c:v>7.807683222748818E-2</c:v>
                </c:pt>
                <c:pt idx="4">
                  <c:v>5.3335602274881523E-2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8.4959127962085337E-2</c:v>
                </c:pt>
                <c:pt idx="13">
                  <c:v>0</c:v>
                </c:pt>
                <c:pt idx="14">
                  <c:v>0.41463557914691962</c:v>
                </c:pt>
                <c:pt idx="15">
                  <c:v>0.20232534597156404</c:v>
                </c:pt>
                <c:pt idx="16">
                  <c:v>0.41463557914691962</c:v>
                </c:pt>
                <c:pt idx="17">
                  <c:v>0</c:v>
                </c:pt>
                <c:pt idx="18">
                  <c:v>0.30138818325434452</c:v>
                </c:pt>
                <c:pt idx="19">
                  <c:v>0</c:v>
                </c:pt>
                <c:pt idx="20">
                  <c:v>6.0259670142180116E-2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0.32625720000000014</c:v>
                </c:pt>
                <c:pt idx="26">
                  <c:v>65.178841969813419</c:v>
                </c:pt>
                <c:pt idx="27">
                  <c:v>7.3440000000000012</c:v>
                </c:pt>
              </c:numCache>
            </c:numRef>
          </c:val>
        </c:ser>
        <c:ser>
          <c:idx val="3"/>
          <c:order val="3"/>
          <c:tx>
            <c:strRef>
              <c:f>Detailled!$E$34</c:f>
              <c:strCache>
                <c:ptCount val="1"/>
                <c:pt idx="0">
                  <c:v>Gains Final case</c:v>
                </c:pt>
              </c:strCache>
            </c:strRef>
          </c:tx>
          <c:invertIfNegative val="0"/>
          <c:cat>
            <c:strRef>
              <c:f>Detailled!$A$35:$A$64</c:f>
              <c:strCache>
                <c:ptCount val="28"/>
                <c:pt idx="0">
                  <c:v>Windows SOUTH</c:v>
                </c:pt>
                <c:pt idx="1">
                  <c:v>Windows SOUTH EAST</c:v>
                </c:pt>
                <c:pt idx="2">
                  <c:v>Windows EAST</c:v>
                </c:pt>
                <c:pt idx="3">
                  <c:v>Windows NORTH / NE / NW</c:v>
                </c:pt>
                <c:pt idx="4">
                  <c:v>Windows WEST</c:v>
                </c:pt>
                <c:pt idx="5">
                  <c:v>Windows SOUTHWEST</c:v>
                </c:pt>
                <c:pt idx="6">
                  <c:v>Windows ROOF</c:v>
                </c:pt>
                <c:pt idx="7">
                  <c:v>Windows WALLS WITHOUT SOLAR RADIATION</c:v>
                </c:pt>
                <c:pt idx="8">
                  <c:v>Windows / wall 1</c:v>
                </c:pt>
                <c:pt idx="9">
                  <c:v>Windows / </c:v>
                </c:pt>
                <c:pt idx="10">
                  <c:v>Windows / </c:v>
                </c:pt>
                <c:pt idx="11">
                  <c:v>Windows / </c:v>
                </c:pt>
                <c:pt idx="12">
                  <c:v>Walls SOUTH</c:v>
                </c:pt>
                <c:pt idx="13">
                  <c:v>Walls SOUTH EAST</c:v>
                </c:pt>
                <c:pt idx="14">
                  <c:v>Walls EAST</c:v>
                </c:pt>
                <c:pt idx="15">
                  <c:v>Walls NORTH / NE / NW</c:v>
                </c:pt>
                <c:pt idx="16">
                  <c:v>Walls WEST</c:v>
                </c:pt>
                <c:pt idx="17">
                  <c:v>Walls SOUTHWEST</c:v>
                </c:pt>
                <c:pt idx="18">
                  <c:v>Roof</c:v>
                </c:pt>
                <c:pt idx="19">
                  <c:v>Walls WITHOUT SOLAR RADIATION</c:v>
                </c:pt>
                <c:pt idx="20">
                  <c:v>wall 1</c:v>
                </c:pt>
                <c:pt idx="21">
                  <c:v>wall 2</c:v>
                </c:pt>
                <c:pt idx="22">
                  <c:v>wall 3</c:v>
                </c:pt>
                <c:pt idx="23">
                  <c:v>wall 4</c:v>
                </c:pt>
                <c:pt idx="24">
                  <c:v>Ground</c:v>
                </c:pt>
                <c:pt idx="25">
                  <c:v>Infiltration+Ventilation</c:v>
                </c:pt>
                <c:pt idx="26">
                  <c:v>Solar Gains</c:v>
                </c:pt>
                <c:pt idx="27">
                  <c:v>Internal Gains</c:v>
                </c:pt>
              </c:strCache>
            </c:strRef>
          </c:cat>
          <c:val>
            <c:numRef>
              <c:f>Detailled!$E$35:$E$64</c:f>
              <c:numCache>
                <c:formatCode>#,##0.00</c:formatCode>
                <c:ptCount val="28"/>
                <c:pt idx="0">
                  <c:v>3.0419545023696688E-3</c:v>
                </c:pt>
                <c:pt idx="1">
                  <c:v>0</c:v>
                </c:pt>
                <c:pt idx="2">
                  <c:v>5.3335602274881523E-2</c:v>
                </c:pt>
                <c:pt idx="3">
                  <c:v>7.807683222748818E-2</c:v>
                </c:pt>
                <c:pt idx="4">
                  <c:v>5.3335602274881523E-2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8.4959127962085337E-2</c:v>
                </c:pt>
                <c:pt idx="13">
                  <c:v>0</c:v>
                </c:pt>
                <c:pt idx="14">
                  <c:v>0.41463557914691962</c:v>
                </c:pt>
                <c:pt idx="15">
                  <c:v>0.20232534597156404</c:v>
                </c:pt>
                <c:pt idx="16">
                  <c:v>0.41463557914691962</c:v>
                </c:pt>
                <c:pt idx="17">
                  <c:v>0</c:v>
                </c:pt>
                <c:pt idx="18">
                  <c:v>0.30138818325434452</c:v>
                </c:pt>
                <c:pt idx="19">
                  <c:v>0</c:v>
                </c:pt>
                <c:pt idx="20">
                  <c:v>6.0259670142180116E-2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0.32625720000000014</c:v>
                </c:pt>
                <c:pt idx="26">
                  <c:v>65.178841969813419</c:v>
                </c:pt>
                <c:pt idx="27">
                  <c:v>7.3440000000000012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768952"/>
        <c:axId val="731766992"/>
      </c:barChart>
      <c:catAx>
        <c:axId val="731768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lt"/>
                <a:cs typeface="Arial" pitchFamily="34" charset="0"/>
              </a:defRPr>
            </a:pPr>
            <a:endParaRPr lang="es-ES"/>
          </a:p>
        </c:txPr>
        <c:crossAx val="731766992"/>
        <c:crosses val="autoZero"/>
        <c:auto val="1"/>
        <c:lblAlgn val="ctr"/>
        <c:lblOffset val="100"/>
        <c:noMultiLvlLbl val="0"/>
      </c:catAx>
      <c:valAx>
        <c:axId val="73176699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#,##0.00" sourceLinked="1"/>
        <c:majorTickMark val="out"/>
        <c:minorTickMark val="none"/>
        <c:tickLblPos val="nextTo"/>
        <c:crossAx val="731768952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Calefacción kWh/m2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'BalanceTermico Inicial'!$A$3</c:f>
              <c:strCache>
                <c:ptCount val="1"/>
                <c:pt idx="0">
                  <c:v>Perdidas Trans (ventanas)</c:v>
                </c:pt>
              </c:strCache>
            </c:strRef>
          </c:tx>
          <c:invertIfNegative val="0"/>
          <c:cat>
            <c:strRef>
              <c:f>'BalanceTermico Inicial'!$B$2:$M$2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Inicial'!$B$3:$M$3</c:f>
              <c:numCache>
                <c:formatCode>0.00</c:formatCode>
                <c:ptCount val="12"/>
                <c:pt idx="0">
                  <c:v>2.0048721550710922</c:v>
                </c:pt>
                <c:pt idx="1">
                  <c:v>1.6785910081516586</c:v>
                </c:pt>
                <c:pt idx="2">
                  <c:v>1.5646700117535532</c:v>
                </c:pt>
                <c:pt idx="3">
                  <c:v>1.1837268654028452</c:v>
                </c:pt>
                <c:pt idx="4">
                  <c:v>0.67618135014217962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0.51610544170616124</c:v>
                </c:pt>
                <c:pt idx="10">
                  <c:v>1.2454957173459715</c:v>
                </c:pt>
                <c:pt idx="11">
                  <c:v>1.8428412017061608</c:v>
                </c:pt>
              </c:numCache>
            </c:numRef>
          </c:val>
        </c:ser>
        <c:ser>
          <c:idx val="1"/>
          <c:order val="1"/>
          <c:tx>
            <c:strRef>
              <c:f>'BalanceTermico Inicial'!$A$4</c:f>
              <c:strCache>
                <c:ptCount val="1"/>
                <c:pt idx="0">
                  <c:v>Perdidas Trans (opacos)</c:v>
                </c:pt>
              </c:strCache>
            </c:strRef>
          </c:tx>
          <c:invertIfNegative val="0"/>
          <c:cat>
            <c:strRef>
              <c:f>'BalanceTermico Inicial'!$B$2:$M$2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Inicial'!$B$4:$M$4</c:f>
              <c:numCache>
                <c:formatCode>0.00</c:formatCode>
                <c:ptCount val="12"/>
                <c:pt idx="0">
                  <c:v>15.781506712164317</c:v>
                </c:pt>
                <c:pt idx="1">
                  <c:v>13.213159350394946</c:v>
                </c:pt>
                <c:pt idx="2">
                  <c:v>12.316421388941539</c:v>
                </c:pt>
                <c:pt idx="3">
                  <c:v>9.3177978578199205</c:v>
                </c:pt>
                <c:pt idx="4">
                  <c:v>5.3226139576619245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4.0625640252764619</c:v>
                </c:pt>
                <c:pt idx="10">
                  <c:v>9.8040161680884701</c:v>
                </c:pt>
                <c:pt idx="11">
                  <c:v>14.50606749194313</c:v>
                </c:pt>
              </c:numCache>
            </c:numRef>
          </c:val>
        </c:ser>
        <c:ser>
          <c:idx val="2"/>
          <c:order val="2"/>
          <c:tx>
            <c:strRef>
              <c:f>'BalanceTermico Inicial'!$A$5</c:f>
              <c:strCache>
                <c:ptCount val="1"/>
                <c:pt idx="0">
                  <c:v>Perdidas Suelo</c:v>
                </c:pt>
              </c:strCache>
            </c:strRef>
          </c:tx>
          <c:invertIfNegative val="0"/>
          <c:cat>
            <c:strRef>
              <c:f>'BalanceTermico Inicial'!$B$2:$M$2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Inicial'!$B$5:$M$5</c:f>
              <c:numCache>
                <c:formatCode>0.00</c:formatCode>
                <c:ptCount val="12"/>
                <c:pt idx="0">
                  <c:v>3.1720022748815171</c:v>
                </c:pt>
                <c:pt idx="1">
                  <c:v>2.5207749763033176</c:v>
                </c:pt>
                <c:pt idx="2">
                  <c:v>2.050619146919431</c:v>
                </c:pt>
                <c:pt idx="3">
                  <c:v>1.3046900473933647</c:v>
                </c:pt>
                <c:pt idx="4">
                  <c:v>2.2049668246445588E-2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1.3229800947867296</c:v>
                </c:pt>
                <c:pt idx="10">
                  <c:v>2.2527241706161143</c:v>
                </c:pt>
                <c:pt idx="11">
                  <c:v>2.9924549763033177</c:v>
                </c:pt>
              </c:numCache>
            </c:numRef>
          </c:val>
        </c:ser>
        <c:ser>
          <c:idx val="3"/>
          <c:order val="3"/>
          <c:tx>
            <c:strRef>
              <c:f>'BalanceTermico Inicial'!$A$6</c:f>
              <c:strCache>
                <c:ptCount val="1"/>
                <c:pt idx="0">
                  <c:v>Perdidas Ventilación</c:v>
                </c:pt>
              </c:strCache>
            </c:strRef>
          </c:tx>
          <c:invertIfNegative val="0"/>
          <c:cat>
            <c:strRef>
              <c:f>'BalanceTermico Inicial'!$B$2:$M$2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Inicial'!$B$6:$M$6</c:f>
              <c:numCache>
                <c:formatCode>0.00</c:formatCode>
                <c:ptCount val="12"/>
                <c:pt idx="0">
                  <c:v>3.483167400000005</c:v>
                </c:pt>
                <c:pt idx="1">
                  <c:v>2.9163024000000006</c:v>
                </c:pt>
                <c:pt idx="2">
                  <c:v>2.7183815999999981</c:v>
                </c:pt>
                <c:pt idx="3">
                  <c:v>2.0565495000000031</c:v>
                </c:pt>
                <c:pt idx="4">
                  <c:v>1.1747645999999996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0.8966565000000003</c:v>
                </c:pt>
                <c:pt idx="10">
                  <c:v>2.1638637000000007</c:v>
                </c:pt>
                <c:pt idx="11">
                  <c:v>3.2016627</c:v>
                </c:pt>
              </c:numCache>
            </c:numRef>
          </c:val>
        </c:ser>
        <c:ser>
          <c:idx val="4"/>
          <c:order val="4"/>
          <c:tx>
            <c:strRef>
              <c:f>'BalanceTermico Inicial'!$A$7</c:f>
              <c:strCache>
                <c:ptCount val="1"/>
                <c:pt idx="0">
                  <c:v>Ganancias Solares</c:v>
                </c:pt>
              </c:strCache>
            </c:strRef>
          </c:tx>
          <c:invertIfNegative val="0"/>
          <c:cat>
            <c:strRef>
              <c:f>'BalanceTermico Inicial'!$B$2:$M$2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Inicial'!$B$7:$M$7</c:f>
              <c:numCache>
                <c:formatCode>0.00</c:formatCode>
                <c:ptCount val="12"/>
                <c:pt idx="0">
                  <c:v>-1.3744923203201322</c:v>
                </c:pt>
                <c:pt idx="1">
                  <c:v>-1.6480572567094447</c:v>
                </c:pt>
                <c:pt idx="2">
                  <c:v>-2.2467562669178989</c:v>
                </c:pt>
                <c:pt idx="3">
                  <c:v>-2.4710438852341419</c:v>
                </c:pt>
                <c:pt idx="4">
                  <c:v>-2.1619177466087285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-1.3224750250699282</c:v>
                </c:pt>
                <c:pt idx="10">
                  <c:v>-1.3629642450743358</c:v>
                </c:pt>
                <c:pt idx="11">
                  <c:v>-1.2581071054127173</c:v>
                </c:pt>
              </c:numCache>
            </c:numRef>
          </c:val>
        </c:ser>
        <c:ser>
          <c:idx val="5"/>
          <c:order val="5"/>
          <c:tx>
            <c:strRef>
              <c:f>'BalanceTermico Inicial'!$A$8</c:f>
              <c:strCache>
                <c:ptCount val="1"/>
                <c:pt idx="0">
                  <c:v>Ganancias Internas</c:v>
                </c:pt>
              </c:strCache>
            </c:strRef>
          </c:tx>
          <c:invertIfNegative val="0"/>
          <c:cat>
            <c:strRef>
              <c:f>'BalanceTermico Inicial'!$B$2:$M$2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Inicial'!$B$8:$M$8</c:f>
              <c:numCache>
                <c:formatCode>0.00</c:formatCode>
                <c:ptCount val="12"/>
                <c:pt idx="0">
                  <c:v>-1.3241762758261277</c:v>
                </c:pt>
                <c:pt idx="1">
                  <c:v>-1.1588450644283688</c:v>
                </c:pt>
                <c:pt idx="2">
                  <c:v>-1.2113927949721586</c:v>
                </c:pt>
                <c:pt idx="3">
                  <c:v>-1.0625274401556881</c:v>
                </c:pt>
                <c:pt idx="4">
                  <c:v>-0.7897052355214913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-0.8333644617770698</c:v>
                </c:pt>
                <c:pt idx="10">
                  <c:v>-1.1987137244220882</c:v>
                </c:pt>
                <c:pt idx="11">
                  <c:v>-1.3165435700242643</c:v>
                </c:pt>
              </c:numCache>
            </c:numRef>
          </c:val>
        </c:ser>
        <c:ser>
          <c:idx val="6"/>
          <c:order val="6"/>
          <c:tx>
            <c:strRef>
              <c:f>'BalanceTermico Inicial'!$A$9</c:f>
              <c:strCache>
                <c:ptCount val="1"/>
                <c:pt idx="0">
                  <c:v>Ganancias Trans (ventanas)</c:v>
                </c:pt>
              </c:strCache>
            </c:strRef>
          </c:tx>
          <c:invertIfNegative val="0"/>
          <c:cat>
            <c:strRef>
              <c:f>'BalanceTermico Inicial'!$B$2:$M$2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Inicial'!$B$9:$M$9</c:f>
              <c:numCache>
                <c:formatCode>0.00</c:formatCode>
                <c:ptCount val="12"/>
                <c:pt idx="0">
                  <c:v>-4.7021652736063956E-4</c:v>
                </c:pt>
                <c:pt idx="1">
                  <c:v>-5.4671673904512744E-4</c:v>
                </c:pt>
                <c:pt idx="2">
                  <c:v>-2.0648015176358944E-3</c:v>
                </c:pt>
                <c:pt idx="3">
                  <c:v>-1.0546295852889376E-2</c:v>
                </c:pt>
                <c:pt idx="4">
                  <c:v>-4.0745787759844859E-2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-7.9338480292431249E-2</c:v>
                </c:pt>
                <c:pt idx="10">
                  <c:v>-3.7827396805662568E-3</c:v>
                </c:pt>
                <c:pt idx="11">
                  <c:v>-3.29591832014092E-3</c:v>
                </c:pt>
              </c:numCache>
            </c:numRef>
          </c:val>
        </c:ser>
        <c:ser>
          <c:idx val="7"/>
          <c:order val="7"/>
          <c:tx>
            <c:strRef>
              <c:f>'BalanceTermico Inicial'!$A$10</c:f>
              <c:strCache>
                <c:ptCount val="1"/>
                <c:pt idx="0">
                  <c:v>Ganancias Trans (opacos)</c:v>
                </c:pt>
              </c:strCache>
            </c:strRef>
          </c:tx>
          <c:invertIfNegative val="0"/>
          <c:cat>
            <c:strRef>
              <c:f>'BalanceTermico Inicial'!$B$2:$M$2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Inicial'!$B$10:$M$10</c:f>
              <c:numCache>
                <c:formatCode>0.00</c:formatCode>
                <c:ptCount val="12"/>
                <c:pt idx="0">
                  <c:v>-3.7013458758169012E-3</c:v>
                </c:pt>
                <c:pt idx="1">
                  <c:v>-4.3035232271891764E-3</c:v>
                </c:pt>
                <c:pt idx="2">
                  <c:v>-1.6253245339078719E-2</c:v>
                </c:pt>
                <c:pt idx="3">
                  <c:v>-8.3015986016795454E-2</c:v>
                </c:pt>
                <c:pt idx="4">
                  <c:v>-0.32073362952243334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-0.62451900292042395</c:v>
                </c:pt>
                <c:pt idx="10">
                  <c:v>-2.9776128870975232E-2</c:v>
                </c:pt>
                <c:pt idx="11">
                  <c:v>-2.5944076763440727E-2</c:v>
                </c:pt>
              </c:numCache>
            </c:numRef>
          </c:val>
        </c:ser>
        <c:ser>
          <c:idx val="8"/>
          <c:order val="8"/>
          <c:tx>
            <c:strRef>
              <c:f>'BalanceTermico Inicial'!$A$11</c:f>
              <c:strCache>
                <c:ptCount val="1"/>
                <c:pt idx="0">
                  <c:v>Ganancias Suelo</c:v>
                </c:pt>
              </c:strCache>
            </c:strRef>
          </c:tx>
          <c:invertIfNegative val="0"/>
          <c:cat>
            <c:strRef>
              <c:f>'BalanceTermico Inicial'!$B$2:$M$2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Inicial'!$B$11:$M$11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'BalanceTermico Inicial'!$A$12</c:f>
              <c:strCache>
                <c:ptCount val="1"/>
                <c:pt idx="0">
                  <c:v>Ganancias Ventilación</c:v>
                </c:pt>
              </c:strCache>
            </c:strRef>
          </c:tx>
          <c:invertIfNegative val="0"/>
          <c:cat>
            <c:strRef>
              <c:f>'BalanceTermico Inicial'!$B$2:$M$2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Inicial'!$B$12:$M$12</c:f>
              <c:numCache>
                <c:formatCode>0.00</c:formatCode>
                <c:ptCount val="12"/>
                <c:pt idx="0">
                  <c:v>-8.1693133145724827E-4</c:v>
                </c:pt>
                <c:pt idx="1">
                  <c:v>-9.4983907959396625E-4</c:v>
                </c:pt>
                <c:pt idx="2">
                  <c:v>-3.5872857605949719E-3</c:v>
                </c:pt>
                <c:pt idx="3">
                  <c:v>-1.8322621625834753E-2</c:v>
                </c:pt>
                <c:pt idx="4">
                  <c:v>-7.0789750485301256E-2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-0.13783881801198444</c:v>
                </c:pt>
                <c:pt idx="10">
                  <c:v>-6.571947994144095E-3</c:v>
                </c:pt>
                <c:pt idx="11">
                  <c:v>-5.7261682330914231E-3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388968"/>
        <c:axId val="546385440"/>
      </c:barChart>
      <c:catAx>
        <c:axId val="546388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6385440"/>
        <c:crosses val="autoZero"/>
        <c:auto val="1"/>
        <c:lblAlgn val="ctr"/>
        <c:lblOffset val="100"/>
        <c:noMultiLvlLbl val="0"/>
      </c:catAx>
      <c:valAx>
        <c:axId val="54638544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crossAx val="5463889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Refrigeración kWh/m2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'BalanceTermico Inicial'!$A$16</c:f>
              <c:strCache>
                <c:ptCount val="1"/>
                <c:pt idx="0">
                  <c:v>Perdidas Trans (ventanas)</c:v>
                </c:pt>
              </c:strCache>
            </c:strRef>
          </c:tx>
          <c:invertIfNegative val="0"/>
          <c:cat>
            <c:strRef>
              <c:f>'BalanceTermico Inicial'!$B$15:$M$15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Inicial'!$B$16:$M$16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-0.52901913228517816</c:v>
                </c:pt>
                <c:pt idx="5">
                  <c:v>-0.46109630833192261</c:v>
                </c:pt>
                <c:pt idx="6">
                  <c:v>-0.37079149789089233</c:v>
                </c:pt>
                <c:pt idx="7">
                  <c:v>-0.34404662309086187</c:v>
                </c:pt>
                <c:pt idx="8">
                  <c:v>-0.34853338540152157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'BalanceTermico Inicial'!$A$17</c:f>
              <c:strCache>
                <c:ptCount val="1"/>
                <c:pt idx="0">
                  <c:v>Perdidas Trans (opacos)</c:v>
                </c:pt>
              </c:strCache>
            </c:strRef>
          </c:tx>
          <c:invertIfNegative val="0"/>
          <c:cat>
            <c:strRef>
              <c:f>'BalanceTermico Inicial'!$B$15:$M$15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Inicial'!$B$17:$M$17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-4.1642151425489953</c:v>
                </c:pt>
                <c:pt idx="5">
                  <c:v>-3.6295553641605593</c:v>
                </c:pt>
                <c:pt idx="6">
                  <c:v>-2.91871404267724</c:v>
                </c:pt>
                <c:pt idx="7">
                  <c:v>-2.708189685747505</c:v>
                </c:pt>
                <c:pt idx="8">
                  <c:v>-2.7435075833712812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'BalanceTermico Inicial'!$A$18</c:f>
              <c:strCache>
                <c:ptCount val="1"/>
                <c:pt idx="0">
                  <c:v>Perdidas Suelo</c:v>
                </c:pt>
              </c:strCache>
            </c:strRef>
          </c:tx>
          <c:invertIfNegative val="0"/>
          <c:cat>
            <c:strRef>
              <c:f>'BalanceTermico Inicial'!$B$15:$M$15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Inicial'!$B$18:$M$18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-0.59642250967231436</c:v>
                </c:pt>
                <c:pt idx="5">
                  <c:v>-0.56647866806341385</c:v>
                </c:pt>
                <c:pt idx="6">
                  <c:v>-0.72487462107343592</c:v>
                </c:pt>
                <c:pt idx="7">
                  <c:v>-0.87235248030119639</c:v>
                </c:pt>
                <c:pt idx="8">
                  <c:v>-0.86574068535668858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'BalanceTermico Inicial'!$A$19</c:f>
              <c:strCache>
                <c:ptCount val="1"/>
                <c:pt idx="0">
                  <c:v>Perdidas Ventilación</c:v>
                </c:pt>
              </c:strCache>
            </c:strRef>
          </c:tx>
          <c:invertIfNegative val="0"/>
          <c:cat>
            <c:strRef>
              <c:f>'BalanceTermico Inicial'!$B$15:$M$15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Inicial'!$B$19:$M$19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-5.5145527086838575</c:v>
                </c:pt>
                <c:pt idx="5">
                  <c:v>-4.8065178381964779</c:v>
                </c:pt>
                <c:pt idx="6">
                  <c:v>-3.8651707173964795</c:v>
                </c:pt>
                <c:pt idx="7">
                  <c:v>-3.5863792469730376</c:v>
                </c:pt>
                <c:pt idx="8">
                  <c:v>-3.633149743054322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'BalanceTermico Inicial'!$A$20</c:f>
              <c:strCache>
                <c:ptCount val="1"/>
                <c:pt idx="0">
                  <c:v>Ganancias Solares</c:v>
                </c:pt>
              </c:strCache>
            </c:strRef>
          </c:tx>
          <c:invertIfNegative val="0"/>
          <c:cat>
            <c:strRef>
              <c:f>'BalanceTermico Inicial'!$B$15:$M$15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Inicial'!$B$20:$M$20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13.251148865934905</c:v>
                </c:pt>
                <c:pt idx="5">
                  <c:v>13.815083269970403</c:v>
                </c:pt>
                <c:pt idx="6">
                  <c:v>15.000790638636474</c:v>
                </c:pt>
                <c:pt idx="7">
                  <c:v>13.14627037793402</c:v>
                </c:pt>
                <c:pt idx="8">
                  <c:v>9.9655488173376217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'BalanceTermico Inicial'!$A$21</c:f>
              <c:strCache>
                <c:ptCount val="1"/>
                <c:pt idx="0">
                  <c:v>Ganancias Internas</c:v>
                </c:pt>
              </c:strCache>
            </c:strRef>
          </c:tx>
          <c:invertIfNegative val="0"/>
          <c:cat>
            <c:strRef>
              <c:f>'BalanceTermico Inicial'!$B$15:$M$15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Inicial'!$B$21:$M$21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1.4880000000000002</c:v>
                </c:pt>
                <c:pt idx="5">
                  <c:v>1.4400000000000002</c:v>
                </c:pt>
                <c:pt idx="6">
                  <c:v>1.4880000000000002</c:v>
                </c:pt>
                <c:pt idx="7">
                  <c:v>1.4880000000000002</c:v>
                </c:pt>
                <c:pt idx="8">
                  <c:v>1.4400000000000002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'BalanceTermico Inicial'!$A$22</c:f>
              <c:strCache>
                <c:ptCount val="1"/>
                <c:pt idx="0">
                  <c:v>Ganancias Trans (ventanas)</c:v>
                </c:pt>
              </c:strCache>
            </c:strRef>
          </c:tx>
          <c:invertIfNegative val="0"/>
          <c:cat>
            <c:strRef>
              <c:f>'BalanceTermico Inicial'!$B$15:$M$15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Inicial'!$B$22:$M$22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5.9708128909952609E-3</c:v>
                </c:pt>
                <c:pt idx="6">
                  <c:v>6.6577205687203794E-2</c:v>
                </c:pt>
                <c:pt idx="7">
                  <c:v>7.9522773459715687E-2</c:v>
                </c:pt>
                <c:pt idx="8">
                  <c:v>3.5719199241706162E-2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'BalanceTermico Inicial'!$A$23</c:f>
              <c:strCache>
                <c:ptCount val="1"/>
                <c:pt idx="0">
                  <c:v>Ganancias Trans (opacos)</c:v>
                </c:pt>
              </c:strCache>
            </c:strRef>
          </c:tx>
          <c:invertIfNegative val="0"/>
          <c:cat>
            <c:strRef>
              <c:f>'BalanceTermico Inicial'!$B$15:$M$15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Inicial'!$B$23:$M$23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4.6999716903633498E-2</c:v>
                </c:pt>
                <c:pt idx="6">
                  <c:v>0.52406763981042659</c:v>
                </c:pt>
                <c:pt idx="7">
                  <c:v>0.62596968088467664</c:v>
                </c:pt>
                <c:pt idx="8">
                  <c:v>0.28116644802527652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'BalanceTermico Inicial'!$A$24</c:f>
              <c:strCache>
                <c:ptCount val="1"/>
                <c:pt idx="0">
                  <c:v>Ganancias Suelo</c:v>
                </c:pt>
              </c:strCache>
            </c:strRef>
          </c:tx>
          <c:invertIfNegative val="0"/>
          <c:cat>
            <c:strRef>
              <c:f>'BalanceTermico Inicial'!$B$15:$M$15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Inicial'!$B$24:$M$24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'BalanceTermico Inicial'!$A$25</c:f>
              <c:strCache>
                <c:ptCount val="1"/>
                <c:pt idx="0">
                  <c:v>Ganancias Ventilación</c:v>
                </c:pt>
              </c:strCache>
            </c:strRef>
          </c:tx>
          <c:invertIfNegative val="0"/>
          <c:cat>
            <c:strRef>
              <c:f>'BalanceTermico Inicial'!$B$15:$M$15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Inicial'!$B$25:$M$25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1.0373400000000003E-2</c:v>
                </c:pt>
                <c:pt idx="6">
                  <c:v>0.11566800000000002</c:v>
                </c:pt>
                <c:pt idx="7">
                  <c:v>0.13815900000000012</c:v>
                </c:pt>
                <c:pt idx="8">
                  <c:v>6.205680000000003E-2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387792"/>
        <c:axId val="546385048"/>
      </c:barChart>
      <c:catAx>
        <c:axId val="54638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6385048"/>
        <c:crosses val="autoZero"/>
        <c:auto val="1"/>
        <c:lblAlgn val="ctr"/>
        <c:lblOffset val="100"/>
        <c:noMultiLvlLbl val="0"/>
      </c:catAx>
      <c:valAx>
        <c:axId val="54638504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crossAx val="5463877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 CALEFACCIÓN kWh/m2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'BalanceTermico Inicial'!$O$2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'BalanceTermico Inicial'!$A$3:$A$12</c:f>
              <c:strCache>
                <c:ptCount val="10"/>
                <c:pt idx="0">
                  <c:v>Perdidas Trans (ventanas)</c:v>
                </c:pt>
                <c:pt idx="1">
                  <c:v>Perdidas Trans (opacos)</c:v>
                </c:pt>
                <c:pt idx="2">
                  <c:v>Perdidas Suelo</c:v>
                </c:pt>
                <c:pt idx="3">
                  <c:v>Perdidas Ventilación</c:v>
                </c:pt>
                <c:pt idx="4">
                  <c:v>Ganancias Solares</c:v>
                </c:pt>
                <c:pt idx="5">
                  <c:v>Ganancias Internas</c:v>
                </c:pt>
                <c:pt idx="6">
                  <c:v>Ganancias Trans (ventanas)</c:v>
                </c:pt>
                <c:pt idx="7">
                  <c:v>Ganancias Trans (opacos)</c:v>
                </c:pt>
                <c:pt idx="8">
                  <c:v>Ganancias Suelo</c:v>
                </c:pt>
                <c:pt idx="9">
                  <c:v>Ganancias Ventilación</c:v>
                </c:pt>
              </c:strCache>
            </c:strRef>
          </c:cat>
          <c:val>
            <c:numRef>
              <c:f>'BalanceTermico Inicial'!$O$3:$O$12</c:f>
              <c:numCache>
                <c:formatCode>0.00</c:formatCode>
                <c:ptCount val="10"/>
                <c:pt idx="0">
                  <c:v>10.712483751279622</c:v>
                </c:pt>
                <c:pt idx="1">
                  <c:v>84.32414695229069</c:v>
                </c:pt>
                <c:pt idx="2">
                  <c:v>15.638295355450236</c:v>
                </c:pt>
                <c:pt idx="3">
                  <c:v>18.611348400000004</c:v>
                </c:pt>
                <c:pt idx="4">
                  <c:v>-13.845813851347327</c:v>
                </c:pt>
                <c:pt idx="5">
                  <c:v>-8.8952685671272551</c:v>
                </c:pt>
                <c:pt idx="6">
                  <c:v>-0.14079095668991432</c:v>
                </c:pt>
                <c:pt idx="7">
                  <c:v>-1.1082469385361535</c:v>
                </c:pt>
                <c:pt idx="8">
                  <c:v>0</c:v>
                </c:pt>
                <c:pt idx="9">
                  <c:v>-0.24460336252200213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389752"/>
        <c:axId val="546390144"/>
      </c:barChart>
      <c:catAx>
        <c:axId val="546389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46390144"/>
        <c:crosses val="autoZero"/>
        <c:auto val="1"/>
        <c:lblAlgn val="ctr"/>
        <c:lblOffset val="100"/>
        <c:noMultiLvlLbl val="0"/>
      </c:catAx>
      <c:valAx>
        <c:axId val="54639014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crossAx val="546389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</a:t>
            </a:r>
            <a:r>
              <a:rPr lang="en-US" baseline="0"/>
              <a:t> REFRIGERACIÓN kWh/m2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'BalanceTermico Inicial'!$O$15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'BalanceTermico Inicial'!$A$16:$A$25</c:f>
              <c:strCache>
                <c:ptCount val="10"/>
                <c:pt idx="0">
                  <c:v>Perdidas Trans (ventanas)</c:v>
                </c:pt>
                <c:pt idx="1">
                  <c:v>Perdidas Trans (opacos)</c:v>
                </c:pt>
                <c:pt idx="2">
                  <c:v>Perdidas Suelo</c:v>
                </c:pt>
                <c:pt idx="3">
                  <c:v>Perdidas Ventilación</c:v>
                </c:pt>
                <c:pt idx="4">
                  <c:v>Ganancias Solares</c:v>
                </c:pt>
                <c:pt idx="5">
                  <c:v>Ganancias Internas</c:v>
                </c:pt>
                <c:pt idx="6">
                  <c:v>Ganancias Trans (ventanas)</c:v>
                </c:pt>
                <c:pt idx="7">
                  <c:v>Ganancias Trans (opacos)</c:v>
                </c:pt>
                <c:pt idx="8">
                  <c:v>Ganancias Suelo</c:v>
                </c:pt>
                <c:pt idx="9">
                  <c:v>Ganancias Ventilación</c:v>
                </c:pt>
              </c:strCache>
            </c:strRef>
          </c:cat>
          <c:val>
            <c:numRef>
              <c:f>'BalanceTermico Inicial'!$O$16:$O$25</c:f>
              <c:numCache>
                <c:formatCode>0.00</c:formatCode>
                <c:ptCount val="10"/>
                <c:pt idx="0">
                  <c:v>-2.0534869470003763</c:v>
                </c:pt>
                <c:pt idx="1">
                  <c:v>-16.164181818505583</c:v>
                </c:pt>
                <c:pt idx="2">
                  <c:v>-3.625868964467049</c:v>
                </c:pt>
                <c:pt idx="3">
                  <c:v>-21.405770254304173</c:v>
                </c:pt>
                <c:pt idx="4">
                  <c:v>65.178841969813419</c:v>
                </c:pt>
                <c:pt idx="5">
                  <c:v>7.3440000000000012</c:v>
                </c:pt>
                <c:pt idx="6">
                  <c:v>0.1877899912796209</c:v>
                </c:pt>
                <c:pt idx="7">
                  <c:v>1.4782034856240132</c:v>
                </c:pt>
                <c:pt idx="8">
                  <c:v>0</c:v>
                </c:pt>
                <c:pt idx="9">
                  <c:v>0.32625720000000014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696968"/>
        <c:axId val="729695008"/>
      </c:barChart>
      <c:catAx>
        <c:axId val="7296969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729695008"/>
        <c:crosses val="autoZero"/>
        <c:auto val="1"/>
        <c:lblAlgn val="ctr"/>
        <c:lblOffset val="100"/>
        <c:noMultiLvlLbl val="0"/>
      </c:catAx>
      <c:valAx>
        <c:axId val="72969500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crossAx val="729696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Calefacción kWh/m2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'BalanceTermico Final'!$A$3</c:f>
              <c:strCache>
                <c:ptCount val="1"/>
                <c:pt idx="0">
                  <c:v>Perdidas Trans (ventanas)</c:v>
                </c:pt>
              </c:strCache>
            </c:strRef>
          </c:tx>
          <c:invertIfNegative val="0"/>
          <c:cat>
            <c:strRef>
              <c:f>'BalanceTermico Final'!$B$2:$M$2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Final'!$B$3:$M$3</c:f>
              <c:numCache>
                <c:formatCode>0.00</c:formatCode>
                <c:ptCount val="12"/>
                <c:pt idx="0">
                  <c:v>2.0048721550710922</c:v>
                </c:pt>
                <c:pt idx="1">
                  <c:v>1.6785910081516586</c:v>
                </c:pt>
                <c:pt idx="2">
                  <c:v>1.5646700117535532</c:v>
                </c:pt>
                <c:pt idx="3">
                  <c:v>1.1837268654028452</c:v>
                </c:pt>
                <c:pt idx="4">
                  <c:v>0.67618135014217962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0.51610544170616124</c:v>
                </c:pt>
                <c:pt idx="10">
                  <c:v>1.2454957173459715</c:v>
                </c:pt>
                <c:pt idx="11">
                  <c:v>1.8428412017061608</c:v>
                </c:pt>
              </c:numCache>
            </c:numRef>
          </c:val>
        </c:ser>
        <c:ser>
          <c:idx val="1"/>
          <c:order val="1"/>
          <c:tx>
            <c:strRef>
              <c:f>'BalanceTermico Final'!$A$4</c:f>
              <c:strCache>
                <c:ptCount val="1"/>
                <c:pt idx="0">
                  <c:v>Perdidas Trans (opacos)</c:v>
                </c:pt>
              </c:strCache>
            </c:strRef>
          </c:tx>
          <c:invertIfNegative val="0"/>
          <c:cat>
            <c:strRef>
              <c:f>'BalanceTermico Final'!$B$2:$M$2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Final'!$B$4:$M$4</c:f>
              <c:numCache>
                <c:formatCode>0.00</c:formatCode>
                <c:ptCount val="12"/>
                <c:pt idx="0">
                  <c:v>15.781506712164317</c:v>
                </c:pt>
                <c:pt idx="1">
                  <c:v>13.213159350394946</c:v>
                </c:pt>
                <c:pt idx="2">
                  <c:v>12.316421388941539</c:v>
                </c:pt>
                <c:pt idx="3">
                  <c:v>9.3177978578199205</c:v>
                </c:pt>
                <c:pt idx="4">
                  <c:v>5.3226139576619245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4.0625640252764619</c:v>
                </c:pt>
                <c:pt idx="10">
                  <c:v>9.8040161680884701</c:v>
                </c:pt>
                <c:pt idx="11">
                  <c:v>14.50606749194313</c:v>
                </c:pt>
              </c:numCache>
            </c:numRef>
          </c:val>
        </c:ser>
        <c:ser>
          <c:idx val="2"/>
          <c:order val="2"/>
          <c:tx>
            <c:strRef>
              <c:f>'BalanceTermico Final'!$A$5</c:f>
              <c:strCache>
                <c:ptCount val="1"/>
                <c:pt idx="0">
                  <c:v>Perdidas Suelo</c:v>
                </c:pt>
              </c:strCache>
            </c:strRef>
          </c:tx>
          <c:invertIfNegative val="0"/>
          <c:cat>
            <c:strRef>
              <c:f>'BalanceTermico Final'!$B$2:$M$2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Final'!$B$5:$M$5</c:f>
              <c:numCache>
                <c:formatCode>0.00</c:formatCode>
                <c:ptCount val="12"/>
                <c:pt idx="0">
                  <c:v>3.1720022748815171</c:v>
                </c:pt>
                <c:pt idx="1">
                  <c:v>2.5207749763033176</c:v>
                </c:pt>
                <c:pt idx="2">
                  <c:v>2.050619146919431</c:v>
                </c:pt>
                <c:pt idx="3">
                  <c:v>1.3046900473933647</c:v>
                </c:pt>
                <c:pt idx="4">
                  <c:v>2.2049668246445588E-2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1.3229800947867296</c:v>
                </c:pt>
                <c:pt idx="10">
                  <c:v>2.2527241706161143</c:v>
                </c:pt>
                <c:pt idx="11">
                  <c:v>2.9924549763033177</c:v>
                </c:pt>
              </c:numCache>
            </c:numRef>
          </c:val>
        </c:ser>
        <c:ser>
          <c:idx val="3"/>
          <c:order val="3"/>
          <c:tx>
            <c:strRef>
              <c:f>'BalanceTermico Final'!$A$6</c:f>
              <c:strCache>
                <c:ptCount val="1"/>
                <c:pt idx="0">
                  <c:v>Perdidas Ventilación</c:v>
                </c:pt>
              </c:strCache>
            </c:strRef>
          </c:tx>
          <c:invertIfNegative val="0"/>
          <c:cat>
            <c:strRef>
              <c:f>'BalanceTermico Final'!$B$2:$M$2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Final'!$B$6:$M$6</c:f>
              <c:numCache>
                <c:formatCode>0.00</c:formatCode>
                <c:ptCount val="12"/>
                <c:pt idx="0">
                  <c:v>3.483167400000005</c:v>
                </c:pt>
                <c:pt idx="1">
                  <c:v>2.9163024000000006</c:v>
                </c:pt>
                <c:pt idx="2">
                  <c:v>2.7183815999999981</c:v>
                </c:pt>
                <c:pt idx="3">
                  <c:v>2.0565495000000031</c:v>
                </c:pt>
                <c:pt idx="4">
                  <c:v>1.1747645999999996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0.8966565000000003</c:v>
                </c:pt>
                <c:pt idx="10">
                  <c:v>2.1638637000000007</c:v>
                </c:pt>
                <c:pt idx="11">
                  <c:v>3.2016627</c:v>
                </c:pt>
              </c:numCache>
            </c:numRef>
          </c:val>
        </c:ser>
        <c:ser>
          <c:idx val="4"/>
          <c:order val="4"/>
          <c:tx>
            <c:strRef>
              <c:f>'BalanceTermico Final'!$A$7</c:f>
              <c:strCache>
                <c:ptCount val="1"/>
                <c:pt idx="0">
                  <c:v>Ganancias Solares</c:v>
                </c:pt>
              </c:strCache>
            </c:strRef>
          </c:tx>
          <c:invertIfNegative val="0"/>
          <c:cat>
            <c:strRef>
              <c:f>'BalanceTermico Final'!$B$2:$M$2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Final'!$B$7:$M$7</c:f>
              <c:numCache>
                <c:formatCode>0.00</c:formatCode>
                <c:ptCount val="12"/>
                <c:pt idx="0">
                  <c:v>-1.3744923203201322</c:v>
                </c:pt>
                <c:pt idx="1">
                  <c:v>-1.6480572567094447</c:v>
                </c:pt>
                <c:pt idx="2">
                  <c:v>-2.2467562669178989</c:v>
                </c:pt>
                <c:pt idx="3">
                  <c:v>-2.4710438852341419</c:v>
                </c:pt>
                <c:pt idx="4">
                  <c:v>-2.1619177466087285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-1.3224750250699282</c:v>
                </c:pt>
                <c:pt idx="10">
                  <c:v>-1.3629642450743358</c:v>
                </c:pt>
                <c:pt idx="11">
                  <c:v>-1.2581071054127173</c:v>
                </c:pt>
              </c:numCache>
            </c:numRef>
          </c:val>
        </c:ser>
        <c:ser>
          <c:idx val="5"/>
          <c:order val="5"/>
          <c:tx>
            <c:strRef>
              <c:f>'BalanceTermico Final'!$A$8</c:f>
              <c:strCache>
                <c:ptCount val="1"/>
                <c:pt idx="0">
                  <c:v>Ganancias internas</c:v>
                </c:pt>
              </c:strCache>
            </c:strRef>
          </c:tx>
          <c:invertIfNegative val="0"/>
          <c:cat>
            <c:strRef>
              <c:f>'BalanceTermico Final'!$B$2:$M$2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Final'!$B$8:$M$8</c:f>
              <c:numCache>
                <c:formatCode>0.00</c:formatCode>
                <c:ptCount val="12"/>
                <c:pt idx="0">
                  <c:v>-1.3241762758261277</c:v>
                </c:pt>
                <c:pt idx="1">
                  <c:v>-1.1588450644283688</c:v>
                </c:pt>
                <c:pt idx="2">
                  <c:v>-1.2113927949721586</c:v>
                </c:pt>
                <c:pt idx="3">
                  <c:v>-1.0625274401556881</c:v>
                </c:pt>
                <c:pt idx="4">
                  <c:v>-0.7897052355214913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-0.8333644617770698</c:v>
                </c:pt>
                <c:pt idx="10">
                  <c:v>-1.1987137244220882</c:v>
                </c:pt>
                <c:pt idx="11">
                  <c:v>-1.3165435700242643</c:v>
                </c:pt>
              </c:numCache>
            </c:numRef>
          </c:val>
        </c:ser>
        <c:ser>
          <c:idx val="6"/>
          <c:order val="6"/>
          <c:tx>
            <c:strRef>
              <c:f>'BalanceTermico Final'!$A$9</c:f>
              <c:strCache>
                <c:ptCount val="1"/>
                <c:pt idx="0">
                  <c:v>Ganancias Trans (ventanas)</c:v>
                </c:pt>
              </c:strCache>
            </c:strRef>
          </c:tx>
          <c:invertIfNegative val="0"/>
          <c:cat>
            <c:strRef>
              <c:f>'BalanceTermico Final'!$B$2:$M$2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Final'!$B$9:$M$9</c:f>
              <c:numCache>
                <c:formatCode>0.00</c:formatCode>
                <c:ptCount val="12"/>
                <c:pt idx="0">
                  <c:v>-4.7021652736063956E-4</c:v>
                </c:pt>
                <c:pt idx="1">
                  <c:v>-5.4671673904512744E-4</c:v>
                </c:pt>
                <c:pt idx="2">
                  <c:v>-2.0648015176358944E-3</c:v>
                </c:pt>
                <c:pt idx="3">
                  <c:v>-1.0546295852889376E-2</c:v>
                </c:pt>
                <c:pt idx="4">
                  <c:v>-4.0745787759844859E-2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-7.9338480292431249E-2</c:v>
                </c:pt>
                <c:pt idx="10">
                  <c:v>-3.7827396805662568E-3</c:v>
                </c:pt>
                <c:pt idx="11">
                  <c:v>-3.29591832014092E-3</c:v>
                </c:pt>
              </c:numCache>
            </c:numRef>
          </c:val>
        </c:ser>
        <c:ser>
          <c:idx val="7"/>
          <c:order val="7"/>
          <c:tx>
            <c:strRef>
              <c:f>'BalanceTermico Final'!$A$10</c:f>
              <c:strCache>
                <c:ptCount val="1"/>
                <c:pt idx="0">
                  <c:v>Ganancias Trans (opacos)</c:v>
                </c:pt>
              </c:strCache>
            </c:strRef>
          </c:tx>
          <c:invertIfNegative val="0"/>
          <c:cat>
            <c:strRef>
              <c:f>'BalanceTermico Final'!$B$2:$M$2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Final'!$B$10:$M$10</c:f>
              <c:numCache>
                <c:formatCode>0.00</c:formatCode>
                <c:ptCount val="12"/>
                <c:pt idx="0">
                  <c:v>-3.7013458758169012E-3</c:v>
                </c:pt>
                <c:pt idx="1">
                  <c:v>-4.3035232271891764E-3</c:v>
                </c:pt>
                <c:pt idx="2">
                  <c:v>-1.6253245339078719E-2</c:v>
                </c:pt>
                <c:pt idx="3">
                  <c:v>-8.3015986016795454E-2</c:v>
                </c:pt>
                <c:pt idx="4">
                  <c:v>-0.32073362952243334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-0.62451900292042395</c:v>
                </c:pt>
                <c:pt idx="10">
                  <c:v>-2.9776128870975232E-2</c:v>
                </c:pt>
                <c:pt idx="11">
                  <c:v>-2.5944076763440727E-2</c:v>
                </c:pt>
              </c:numCache>
            </c:numRef>
          </c:val>
        </c:ser>
        <c:ser>
          <c:idx val="8"/>
          <c:order val="8"/>
          <c:tx>
            <c:strRef>
              <c:f>'BalanceTermico Final'!$A$11</c:f>
              <c:strCache>
                <c:ptCount val="1"/>
                <c:pt idx="0">
                  <c:v>Ganancias Suelo</c:v>
                </c:pt>
              </c:strCache>
            </c:strRef>
          </c:tx>
          <c:invertIfNegative val="0"/>
          <c:cat>
            <c:strRef>
              <c:f>'BalanceTermico Final'!$B$2:$M$2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Final'!$B$11:$M$11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'BalanceTermico Final'!$A$12</c:f>
              <c:strCache>
                <c:ptCount val="1"/>
                <c:pt idx="0">
                  <c:v>Ganancias Ventilación</c:v>
                </c:pt>
              </c:strCache>
            </c:strRef>
          </c:tx>
          <c:invertIfNegative val="0"/>
          <c:cat>
            <c:strRef>
              <c:f>'BalanceTermico Final'!$B$2:$M$2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Final'!$B$12:$M$12</c:f>
              <c:numCache>
                <c:formatCode>0.00</c:formatCode>
                <c:ptCount val="12"/>
                <c:pt idx="0">
                  <c:v>-8.1693133145724827E-4</c:v>
                </c:pt>
                <c:pt idx="1">
                  <c:v>-9.4983907959396625E-4</c:v>
                </c:pt>
                <c:pt idx="2">
                  <c:v>-3.5872857605949719E-3</c:v>
                </c:pt>
                <c:pt idx="3">
                  <c:v>-1.8322621625834753E-2</c:v>
                </c:pt>
                <c:pt idx="4">
                  <c:v>-7.0789750485301256E-2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-0.13783881801198444</c:v>
                </c:pt>
                <c:pt idx="10">
                  <c:v>-6.571947994144095E-3</c:v>
                </c:pt>
                <c:pt idx="11">
                  <c:v>-5.7261682330914231E-3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693440"/>
        <c:axId val="729693832"/>
      </c:barChart>
      <c:catAx>
        <c:axId val="72969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9693832"/>
        <c:crosses val="autoZero"/>
        <c:auto val="1"/>
        <c:lblAlgn val="ctr"/>
        <c:lblOffset val="100"/>
        <c:noMultiLvlLbl val="0"/>
      </c:catAx>
      <c:valAx>
        <c:axId val="7296938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crossAx val="729693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Refrigeración kWh/m2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3.6410812284828412E-2"/>
          <c:y val="5.1489955766738447E-2"/>
          <c:w val="0.9485819727079523"/>
          <c:h val="0.762357967744122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'BalanceTermico Final'!$A$16</c:f>
              <c:strCache>
                <c:ptCount val="1"/>
                <c:pt idx="0">
                  <c:v>Perdidas Trans (ventanas)</c:v>
                </c:pt>
              </c:strCache>
            </c:strRef>
          </c:tx>
          <c:invertIfNegative val="0"/>
          <c:cat>
            <c:strRef>
              <c:f>'BalanceTermico Final'!$B$15:$M$15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Final'!$B$16:$M$16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-0.52901913228517816</c:v>
                </c:pt>
                <c:pt idx="5">
                  <c:v>-0.46109630833192261</c:v>
                </c:pt>
                <c:pt idx="6">
                  <c:v>-0.37079149789089233</c:v>
                </c:pt>
                <c:pt idx="7">
                  <c:v>-0.34404662309086187</c:v>
                </c:pt>
                <c:pt idx="8">
                  <c:v>-0.34853338540152157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'BalanceTermico Final'!$A$17</c:f>
              <c:strCache>
                <c:ptCount val="1"/>
                <c:pt idx="0">
                  <c:v>Perdidas Trans (opacos)</c:v>
                </c:pt>
              </c:strCache>
            </c:strRef>
          </c:tx>
          <c:invertIfNegative val="0"/>
          <c:cat>
            <c:strRef>
              <c:f>'BalanceTermico Final'!$B$15:$M$15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Final'!$B$17:$M$17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-4.1642151425489953</c:v>
                </c:pt>
                <c:pt idx="5">
                  <c:v>-3.6295553641605593</c:v>
                </c:pt>
                <c:pt idx="6">
                  <c:v>-2.91871404267724</c:v>
                </c:pt>
                <c:pt idx="7">
                  <c:v>-2.708189685747505</c:v>
                </c:pt>
                <c:pt idx="8">
                  <c:v>-2.7435075833712812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'BalanceTermico Final'!$A$18</c:f>
              <c:strCache>
                <c:ptCount val="1"/>
                <c:pt idx="0">
                  <c:v>Perdidas Suelo</c:v>
                </c:pt>
              </c:strCache>
            </c:strRef>
          </c:tx>
          <c:invertIfNegative val="0"/>
          <c:cat>
            <c:strRef>
              <c:f>'BalanceTermico Final'!$B$15:$M$15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Final'!$B$18:$M$18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-0.59642250967231436</c:v>
                </c:pt>
                <c:pt idx="5">
                  <c:v>-0.56647866806341385</c:v>
                </c:pt>
                <c:pt idx="6">
                  <c:v>-0.72487462107343592</c:v>
                </c:pt>
                <c:pt idx="7">
                  <c:v>-0.87235248030119639</c:v>
                </c:pt>
                <c:pt idx="8">
                  <c:v>-0.86574068535668858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'BalanceTermico Final'!$A$19</c:f>
              <c:strCache>
                <c:ptCount val="1"/>
                <c:pt idx="0">
                  <c:v>Perdidas Ventilación</c:v>
                </c:pt>
              </c:strCache>
            </c:strRef>
          </c:tx>
          <c:invertIfNegative val="0"/>
          <c:cat>
            <c:strRef>
              <c:f>'BalanceTermico Final'!$B$15:$M$15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Final'!$B$19:$M$19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-5.5145527086838575</c:v>
                </c:pt>
                <c:pt idx="5">
                  <c:v>-4.8065178381964779</c:v>
                </c:pt>
                <c:pt idx="6">
                  <c:v>-3.8651707173964795</c:v>
                </c:pt>
                <c:pt idx="7">
                  <c:v>-3.5863792469730376</c:v>
                </c:pt>
                <c:pt idx="8">
                  <c:v>-3.633149743054322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'BalanceTermico Final'!$A$20</c:f>
              <c:strCache>
                <c:ptCount val="1"/>
                <c:pt idx="0">
                  <c:v>Ganancias Solares</c:v>
                </c:pt>
              </c:strCache>
            </c:strRef>
          </c:tx>
          <c:invertIfNegative val="0"/>
          <c:cat>
            <c:strRef>
              <c:f>'BalanceTermico Final'!$B$15:$M$15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Final'!$B$20:$M$20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13.251148865934905</c:v>
                </c:pt>
                <c:pt idx="5">
                  <c:v>13.815083269970403</c:v>
                </c:pt>
                <c:pt idx="6">
                  <c:v>15.000790638636474</c:v>
                </c:pt>
                <c:pt idx="7">
                  <c:v>13.14627037793402</c:v>
                </c:pt>
                <c:pt idx="8">
                  <c:v>9.9655488173376217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'BalanceTermico Final'!$A$21</c:f>
              <c:strCache>
                <c:ptCount val="1"/>
                <c:pt idx="0">
                  <c:v>Ganancias internas</c:v>
                </c:pt>
              </c:strCache>
            </c:strRef>
          </c:tx>
          <c:invertIfNegative val="0"/>
          <c:cat>
            <c:strRef>
              <c:f>'BalanceTermico Final'!$B$15:$M$15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Final'!$B$21:$M$21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1.4880000000000002</c:v>
                </c:pt>
                <c:pt idx="5">
                  <c:v>1.4400000000000002</c:v>
                </c:pt>
                <c:pt idx="6">
                  <c:v>1.4880000000000002</c:v>
                </c:pt>
                <c:pt idx="7">
                  <c:v>1.4880000000000002</c:v>
                </c:pt>
                <c:pt idx="8">
                  <c:v>1.4400000000000002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'BalanceTermico Final'!$A$22</c:f>
              <c:strCache>
                <c:ptCount val="1"/>
                <c:pt idx="0">
                  <c:v>Ganancias Trans (ventanas)</c:v>
                </c:pt>
              </c:strCache>
            </c:strRef>
          </c:tx>
          <c:invertIfNegative val="0"/>
          <c:cat>
            <c:strRef>
              <c:f>'BalanceTermico Final'!$B$15:$M$15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Final'!$B$22:$M$22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5.9708128909952609E-3</c:v>
                </c:pt>
                <c:pt idx="6">
                  <c:v>6.6577205687203794E-2</c:v>
                </c:pt>
                <c:pt idx="7">
                  <c:v>7.9522773459715687E-2</c:v>
                </c:pt>
                <c:pt idx="8">
                  <c:v>3.5719199241706162E-2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'BalanceTermico Final'!$A$23</c:f>
              <c:strCache>
                <c:ptCount val="1"/>
                <c:pt idx="0">
                  <c:v>Ganancias Trans (opacos)</c:v>
                </c:pt>
              </c:strCache>
            </c:strRef>
          </c:tx>
          <c:invertIfNegative val="0"/>
          <c:cat>
            <c:strRef>
              <c:f>'BalanceTermico Final'!$B$15:$M$15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Final'!$B$23:$M$23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4.6999716903633498E-2</c:v>
                </c:pt>
                <c:pt idx="6">
                  <c:v>0.52406763981042659</c:v>
                </c:pt>
                <c:pt idx="7">
                  <c:v>0.62596968088467664</c:v>
                </c:pt>
                <c:pt idx="8">
                  <c:v>0.28116644802527652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'BalanceTermico Final'!$A$24</c:f>
              <c:strCache>
                <c:ptCount val="1"/>
                <c:pt idx="0">
                  <c:v>Ganancias Suelo</c:v>
                </c:pt>
              </c:strCache>
            </c:strRef>
          </c:tx>
          <c:invertIfNegative val="0"/>
          <c:cat>
            <c:strRef>
              <c:f>'BalanceTermico Final'!$B$15:$M$15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Final'!$B$24:$M$24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'BalanceTermico Final'!$A$25</c:f>
              <c:strCache>
                <c:ptCount val="1"/>
                <c:pt idx="0">
                  <c:v>Ganancias Ventilación</c:v>
                </c:pt>
              </c:strCache>
            </c:strRef>
          </c:tx>
          <c:invertIfNegative val="0"/>
          <c:cat>
            <c:strRef>
              <c:f>'BalanceTermico Final'!$B$15:$M$15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'BalanceTermico Final'!$B$25:$M$25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1.0373400000000003E-2</c:v>
                </c:pt>
                <c:pt idx="6">
                  <c:v>0.11566800000000002</c:v>
                </c:pt>
                <c:pt idx="7">
                  <c:v>0.13815900000000012</c:v>
                </c:pt>
                <c:pt idx="8">
                  <c:v>6.205680000000003E-2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695400"/>
        <c:axId val="729697360"/>
      </c:barChart>
      <c:catAx>
        <c:axId val="729695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9697360"/>
        <c:crosses val="autoZero"/>
        <c:auto val="1"/>
        <c:lblAlgn val="ctr"/>
        <c:lblOffset val="100"/>
        <c:noMultiLvlLbl val="0"/>
      </c:catAx>
      <c:valAx>
        <c:axId val="72969736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crossAx val="729695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 Calefaccion kWh/m2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'BalanceTermico Final'!$O$2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'BalanceTermico Final'!$A$3:$A$12</c:f>
              <c:strCache>
                <c:ptCount val="10"/>
                <c:pt idx="0">
                  <c:v>Perdidas Trans (ventanas)</c:v>
                </c:pt>
                <c:pt idx="1">
                  <c:v>Perdidas Trans (opacos)</c:v>
                </c:pt>
                <c:pt idx="2">
                  <c:v>Perdidas Suelo</c:v>
                </c:pt>
                <c:pt idx="3">
                  <c:v>Perdidas Ventilación</c:v>
                </c:pt>
                <c:pt idx="4">
                  <c:v>Ganancias Solares</c:v>
                </c:pt>
                <c:pt idx="5">
                  <c:v>Ganancias internas</c:v>
                </c:pt>
                <c:pt idx="6">
                  <c:v>Ganancias Trans (ventanas)</c:v>
                </c:pt>
                <c:pt idx="7">
                  <c:v>Ganancias Trans (opacos)</c:v>
                </c:pt>
                <c:pt idx="8">
                  <c:v>Ganancias Suelo</c:v>
                </c:pt>
                <c:pt idx="9">
                  <c:v>Ganancias Ventilación</c:v>
                </c:pt>
              </c:strCache>
            </c:strRef>
          </c:cat>
          <c:val>
            <c:numRef>
              <c:f>'BalanceTermico Final'!$O$3:$O$12</c:f>
              <c:numCache>
                <c:formatCode>0.00</c:formatCode>
                <c:ptCount val="10"/>
                <c:pt idx="0">
                  <c:v>10.712483751279622</c:v>
                </c:pt>
                <c:pt idx="1">
                  <c:v>84.32414695229069</c:v>
                </c:pt>
                <c:pt idx="2">
                  <c:v>15.638295355450236</c:v>
                </c:pt>
                <c:pt idx="3">
                  <c:v>18.611348400000004</c:v>
                </c:pt>
                <c:pt idx="4">
                  <c:v>-13.845813851347327</c:v>
                </c:pt>
                <c:pt idx="5">
                  <c:v>-8.8952685671272551</c:v>
                </c:pt>
                <c:pt idx="6">
                  <c:v>-0.14079095668991432</c:v>
                </c:pt>
                <c:pt idx="7">
                  <c:v>-1.1082469385361535</c:v>
                </c:pt>
                <c:pt idx="8">
                  <c:v>0</c:v>
                </c:pt>
                <c:pt idx="9">
                  <c:v>-0.24460336252200213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697752"/>
        <c:axId val="729694224"/>
      </c:barChart>
      <c:catAx>
        <c:axId val="729697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729694224"/>
        <c:crosses val="autoZero"/>
        <c:auto val="1"/>
        <c:lblAlgn val="ctr"/>
        <c:lblOffset val="100"/>
        <c:noMultiLvlLbl val="0"/>
      </c:catAx>
      <c:valAx>
        <c:axId val="72969422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crossAx val="72969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 Refrigeración kWh/m2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'BalanceTermico Final'!$O$15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'BalanceTermico Final'!$A$16:$A$25</c:f>
              <c:strCache>
                <c:ptCount val="10"/>
                <c:pt idx="0">
                  <c:v>Perdidas Trans (ventanas)</c:v>
                </c:pt>
                <c:pt idx="1">
                  <c:v>Perdidas Trans (opacos)</c:v>
                </c:pt>
                <c:pt idx="2">
                  <c:v>Perdidas Suelo</c:v>
                </c:pt>
                <c:pt idx="3">
                  <c:v>Perdidas Ventilación</c:v>
                </c:pt>
                <c:pt idx="4">
                  <c:v>Ganancias Solares</c:v>
                </c:pt>
                <c:pt idx="5">
                  <c:v>Ganancias internas</c:v>
                </c:pt>
                <c:pt idx="6">
                  <c:v>Ganancias Trans (ventanas)</c:v>
                </c:pt>
                <c:pt idx="7">
                  <c:v>Ganancias Trans (opacos)</c:v>
                </c:pt>
                <c:pt idx="8">
                  <c:v>Ganancias Suelo</c:v>
                </c:pt>
                <c:pt idx="9">
                  <c:v>Ganancias Ventilación</c:v>
                </c:pt>
              </c:strCache>
            </c:strRef>
          </c:cat>
          <c:val>
            <c:numRef>
              <c:f>'BalanceTermico Final'!$O$16:$O$25</c:f>
              <c:numCache>
                <c:formatCode>0.00</c:formatCode>
                <c:ptCount val="10"/>
                <c:pt idx="0">
                  <c:v>-2.0534869470003763</c:v>
                </c:pt>
                <c:pt idx="1">
                  <c:v>-16.164181818505583</c:v>
                </c:pt>
                <c:pt idx="2">
                  <c:v>-3.625868964467049</c:v>
                </c:pt>
                <c:pt idx="3">
                  <c:v>-21.405770254304173</c:v>
                </c:pt>
                <c:pt idx="4">
                  <c:v>65.178841969813419</c:v>
                </c:pt>
                <c:pt idx="5">
                  <c:v>7.3440000000000012</c:v>
                </c:pt>
                <c:pt idx="6">
                  <c:v>0.1877899912796209</c:v>
                </c:pt>
                <c:pt idx="7">
                  <c:v>1.4782034856240132</c:v>
                </c:pt>
                <c:pt idx="8">
                  <c:v>0</c:v>
                </c:pt>
                <c:pt idx="9">
                  <c:v>0.32625720000000014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698536"/>
        <c:axId val="729691872"/>
      </c:barChart>
      <c:catAx>
        <c:axId val="729698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729691872"/>
        <c:crosses val="autoZero"/>
        <c:auto val="1"/>
        <c:lblAlgn val="ctr"/>
        <c:lblOffset val="100"/>
        <c:noMultiLvlLbl val="0"/>
      </c:catAx>
      <c:valAx>
        <c:axId val="72969187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crossAx val="729698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sheetProtection password="D60A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sheetProtection password="D60A" content="1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sheetProtection password="D60A" content="1" objects="1"/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password="D60A" content="1" objects="1"/>
  <pageMargins left="0.7" right="0.7" top="0.75" bottom="0.75" header="0.3" footer="0.3"/>
  <drawing r:id="rId1"/>
</chartsheet>
</file>

<file path=xl/ctrlProps/ctrlProp1.xml><?xml version="1.0" encoding="utf-8"?>
<formControlPr xmlns="http://schemas.microsoft.com/office/spreadsheetml/2009/9/main" objectType="Drop" dropStyle="combo" dx="16" fmlaLink="B5" fmlaRange="Cities!$A$3:$A$91" noThreeD="1" sel="6" val="0"/>
</file>

<file path=xl/ctrlProps/ctrlProp10.xml><?xml version="1.0" encoding="utf-8"?>
<formControlPr xmlns="http://schemas.microsoft.com/office/spreadsheetml/2009/9/main" objectType="Drop" dropStyle="combo" dx="16" fmlaLink="G50" fmlaRange="'Default data'!$A$27:$A$33" noThreeD="1" sel="1" val="0"/>
</file>

<file path=xl/ctrlProps/ctrlProp100.xml><?xml version="1.0" encoding="utf-8"?>
<formControlPr xmlns="http://schemas.microsoft.com/office/spreadsheetml/2009/9/main" objectType="Drop" dropStyle="combo" dx="16" fmlaLink="B69" fmlaRange="Products!$C$2:$C$128" noThreeD="1" sel="1" val="0"/>
</file>

<file path=xl/ctrlProps/ctrlProp101.xml><?xml version="1.0" encoding="utf-8"?>
<formControlPr xmlns="http://schemas.microsoft.com/office/spreadsheetml/2009/9/main" objectType="Drop" dropStyle="combo" dx="16" fmlaLink="C69" fmlaRange="Products!$C$2:$C$128" noThreeD="1" sel="1" val="0"/>
</file>

<file path=xl/ctrlProps/ctrlProp102.xml><?xml version="1.0" encoding="utf-8"?>
<formControlPr xmlns="http://schemas.microsoft.com/office/spreadsheetml/2009/9/main" objectType="Drop" dropStyle="combo" dx="16" fmlaLink="D69" fmlaRange="Products!$C$2:$C$128" noThreeD="1" sel="1" val="0"/>
</file>

<file path=xl/ctrlProps/ctrlProp103.xml><?xml version="1.0" encoding="utf-8"?>
<formControlPr xmlns="http://schemas.microsoft.com/office/spreadsheetml/2009/9/main" objectType="Drop" dropStyle="combo" dx="16" fmlaLink="B103" fmlaRange="Products!$C$2:$C$128" noThreeD="1" sel="1" val="0"/>
</file>

<file path=xl/ctrlProps/ctrlProp104.xml><?xml version="1.0" encoding="utf-8"?>
<formControlPr xmlns="http://schemas.microsoft.com/office/spreadsheetml/2009/9/main" objectType="Drop" dropStyle="combo" dx="16" fmlaLink="C103" fmlaRange="Products!$C$2:$C$128" noThreeD="1" sel="1" val="0"/>
</file>

<file path=xl/ctrlProps/ctrlProp105.xml><?xml version="1.0" encoding="utf-8"?>
<formControlPr xmlns="http://schemas.microsoft.com/office/spreadsheetml/2009/9/main" objectType="Drop" dropStyle="combo" dx="16" fmlaLink="D103" fmlaRange="Products!$C$2:$C$128" noThreeD="1" sel="1" val="0"/>
</file>

<file path=xl/ctrlProps/ctrlProp106.xml><?xml version="1.0" encoding="utf-8"?>
<formControlPr xmlns="http://schemas.microsoft.com/office/spreadsheetml/2009/9/main" objectType="Drop" dropStyle="combo" dx="16" fmlaLink="E103" fmlaRange="Products!$C$2:$C$128" noThreeD="1" sel="1" val="0"/>
</file>

<file path=xl/ctrlProps/ctrlProp107.xml><?xml version="1.0" encoding="utf-8"?>
<formControlPr xmlns="http://schemas.microsoft.com/office/spreadsheetml/2009/9/main" objectType="Drop" dropStyle="combo" dx="16" fmlaLink="B38" fmlaRange="Costs!$A$2:$A$33" noThreeD="1" sel="1" val="0"/>
</file>

<file path=xl/ctrlProps/ctrlProp108.xml><?xml version="1.0" encoding="utf-8"?>
<formControlPr xmlns="http://schemas.microsoft.com/office/spreadsheetml/2009/9/main" objectType="Drop" dropStyle="combo" dx="16" fmlaLink="C38" fmlaRange="Costs!$A$2:$A$33" noThreeD="1" sel="1" val="0"/>
</file>

<file path=xl/ctrlProps/ctrlProp109.xml><?xml version="1.0" encoding="utf-8"?>
<formControlPr xmlns="http://schemas.microsoft.com/office/spreadsheetml/2009/9/main" objectType="Drop" dropStyle="combo" dx="16" fmlaLink="D38" fmlaRange="Costs!$A$2:$A$33" noThreeD="1" sel="1" val="0"/>
</file>

<file path=xl/ctrlProps/ctrlProp11.xml><?xml version="1.0" encoding="utf-8"?>
<formControlPr xmlns="http://schemas.microsoft.com/office/spreadsheetml/2009/9/main" objectType="Drop" dropStyle="combo" dx="16" fmlaLink="B87" fmlaRange="'Default data'!$A$27:$A$33" noThreeD="1" sel="1" val="0"/>
</file>

<file path=xl/ctrlProps/ctrlProp110.xml><?xml version="1.0" encoding="utf-8"?>
<formControlPr xmlns="http://schemas.microsoft.com/office/spreadsheetml/2009/9/main" objectType="Drop" dropStyle="combo" dx="16" fmlaLink="E38" fmlaRange="Costs!$A$2:$A$33" noThreeD="1" sel="1" val="0"/>
</file>

<file path=xl/ctrlProps/ctrlProp111.xml><?xml version="1.0" encoding="utf-8"?>
<formControlPr xmlns="http://schemas.microsoft.com/office/spreadsheetml/2009/9/main" objectType="Drop" dropStyle="combo" dx="16" fmlaLink="F38" fmlaRange="Costs!$A$2:$A$33" noThreeD="1" sel="1" val="0"/>
</file>

<file path=xl/ctrlProps/ctrlProp112.xml><?xml version="1.0" encoding="utf-8"?>
<formControlPr xmlns="http://schemas.microsoft.com/office/spreadsheetml/2009/9/main" objectType="Drop" dropStyle="combo" dx="16" fmlaLink="G38" fmlaRange="Costs!$A$2:$A$33" noThreeD="1" sel="1" val="0"/>
</file>

<file path=xl/ctrlProps/ctrlProp113.xml><?xml version="1.0" encoding="utf-8"?>
<formControlPr xmlns="http://schemas.microsoft.com/office/spreadsheetml/2009/9/main" objectType="Drop" dropStyle="combo" dx="16" fmlaLink="B75" fmlaRange="Costs!$D$2:$D$24" noThreeD="1" sel="1" val="0"/>
</file>

<file path=xl/ctrlProps/ctrlProp114.xml><?xml version="1.0" encoding="utf-8"?>
<formControlPr xmlns="http://schemas.microsoft.com/office/spreadsheetml/2009/9/main" objectType="Drop" dropStyle="combo" dx="16" fmlaLink="C75" fmlaRange="Costs!$G$2:$G$24" noThreeD="1" sel="1" val="0"/>
</file>

<file path=xl/ctrlProps/ctrlProp115.xml><?xml version="1.0" encoding="utf-8"?>
<formControlPr xmlns="http://schemas.microsoft.com/office/spreadsheetml/2009/9/main" objectType="Drop" dropStyle="combo" dx="16" fmlaLink="D75" fmlaRange="Costs!$J$2:$J$45" noThreeD="1" sel="1" val="0"/>
</file>

<file path=xl/ctrlProps/ctrlProp116.xml><?xml version="1.0" encoding="utf-8"?>
<formControlPr xmlns="http://schemas.microsoft.com/office/spreadsheetml/2009/9/main" objectType="Drop" dropStyle="combo" dx="16" fmlaLink="B109" fmlaRange="Costs!$J$2:$J$45" noThreeD="1" sel="1" val="0"/>
</file>

<file path=xl/ctrlProps/ctrlProp117.xml><?xml version="1.0" encoding="utf-8"?>
<formControlPr xmlns="http://schemas.microsoft.com/office/spreadsheetml/2009/9/main" objectType="Drop" dropStyle="combo" dx="16" fmlaLink="C109" fmlaRange="Costs!$J$2:$J$45" noThreeD="1" sel="1" val="0"/>
</file>

<file path=xl/ctrlProps/ctrlProp118.xml><?xml version="1.0" encoding="utf-8"?>
<formControlPr xmlns="http://schemas.microsoft.com/office/spreadsheetml/2009/9/main" objectType="Drop" dropStyle="combo" dx="16" fmlaLink="D109" fmlaRange="Costs!$J$2:$J$45" noThreeD="1" sel="1" val="0"/>
</file>

<file path=xl/ctrlProps/ctrlProp119.xml><?xml version="1.0" encoding="utf-8"?>
<formControlPr xmlns="http://schemas.microsoft.com/office/spreadsheetml/2009/9/main" objectType="Drop" dropStyle="combo" dx="16" fmlaLink="E109" fmlaRange="Costs!$J$2:$J$45" noThreeD="1" sel="1" val="0"/>
</file>

<file path=xl/ctrlProps/ctrlProp12.xml><?xml version="1.0" encoding="utf-8"?>
<formControlPr xmlns="http://schemas.microsoft.com/office/spreadsheetml/2009/9/main" objectType="Drop" dropStyle="combo" dx="16" fmlaLink="D87" fmlaRange="'Default data'!$A$27:$A$33" noThreeD="1" sel="1" val="0"/>
</file>

<file path=xl/ctrlProps/ctrlProp120.xml><?xml version="1.0" encoding="utf-8"?>
<formControlPr xmlns="http://schemas.microsoft.com/office/spreadsheetml/2009/9/main" objectType="Drop" dropStyle="combo" dx="16" fmlaLink="B45" fmlaRange="Costs!$M$2:$M$23" noThreeD="1" sel="1" val="0"/>
</file>

<file path=xl/ctrlProps/ctrlProp121.xml><?xml version="1.0" encoding="utf-8"?>
<formControlPr xmlns="http://schemas.microsoft.com/office/spreadsheetml/2009/9/main" objectType="Drop" dropStyle="combo" dx="16" fmlaLink="C45" fmlaRange="Costs!$M$2:$M$23" noThreeD="1" sel="1" val="0"/>
</file>

<file path=xl/ctrlProps/ctrlProp122.xml><?xml version="1.0" encoding="utf-8"?>
<formControlPr xmlns="http://schemas.microsoft.com/office/spreadsheetml/2009/9/main" objectType="Drop" dropStyle="combo" dx="16" fmlaLink="D45" fmlaRange="Costs!$M$2:$M$23" noThreeD="1" sel="1" val="0"/>
</file>

<file path=xl/ctrlProps/ctrlProp123.xml><?xml version="1.0" encoding="utf-8"?>
<formControlPr xmlns="http://schemas.microsoft.com/office/spreadsheetml/2009/9/main" objectType="Drop" dropStyle="combo" dx="16" fmlaLink="E45" fmlaRange="Costs!$M$2:$M$23" noThreeD="1" sel="1" val="0"/>
</file>

<file path=xl/ctrlProps/ctrlProp124.xml><?xml version="1.0" encoding="utf-8"?>
<formControlPr xmlns="http://schemas.microsoft.com/office/spreadsheetml/2009/9/main" objectType="Drop" dropStyle="combo" dx="16" fmlaLink="F45" fmlaRange="Costs!$M$2:$M$23" noThreeD="1" sel="1" val="0"/>
</file>

<file path=xl/ctrlProps/ctrlProp125.xml><?xml version="1.0" encoding="utf-8"?>
<formControlPr xmlns="http://schemas.microsoft.com/office/spreadsheetml/2009/9/main" objectType="Drop" dropStyle="combo" dx="16" fmlaLink="G45" fmlaRange="Costs!$M$2:$M$23" noThreeD="1" sel="1" val="0"/>
</file>

<file path=xl/ctrlProps/ctrlProp126.xml><?xml version="1.0" encoding="utf-8"?>
<formControlPr xmlns="http://schemas.microsoft.com/office/spreadsheetml/2009/9/main" objectType="Drop" dropStyle="combo" dx="16" fmlaLink="B82" fmlaRange="Costs!$M$2:$M$23" noThreeD="1" sel="1" val="0"/>
</file>

<file path=xl/ctrlProps/ctrlProp127.xml><?xml version="1.0" encoding="utf-8"?>
<formControlPr xmlns="http://schemas.microsoft.com/office/spreadsheetml/2009/9/main" objectType="Drop" dropStyle="combo" dx="16" fmlaLink="D82" fmlaRange="Costs!$M$2:$M$23" noThreeD="1" sel="1" val="0"/>
</file>

<file path=xl/ctrlProps/ctrlProp128.xml><?xml version="1.0" encoding="utf-8"?>
<formControlPr xmlns="http://schemas.microsoft.com/office/spreadsheetml/2009/9/main" objectType="Drop" dropStyle="combo" dx="16" fmlaLink="B115" fmlaRange="Costs!$M$2:$M$23" noThreeD="1" sel="1" val="0"/>
</file>

<file path=xl/ctrlProps/ctrlProp129.xml><?xml version="1.0" encoding="utf-8"?>
<formControlPr xmlns="http://schemas.microsoft.com/office/spreadsheetml/2009/9/main" objectType="Drop" dropStyle="combo" dx="16" fmlaLink="C115" fmlaRange="Costs!$M$2:$M$23" noThreeD="1" sel="1" val="0"/>
</file>

<file path=xl/ctrlProps/ctrlProp13.xml><?xml version="1.0" encoding="utf-8"?>
<formControlPr xmlns="http://schemas.microsoft.com/office/spreadsheetml/2009/9/main" objectType="Drop" dropStyle="combo" dx="16" fmlaLink="B27" fmlaRange="'Default data'!$A$27:$A$33" noThreeD="1" sel="5" val="0"/>
</file>

<file path=xl/ctrlProps/ctrlProp130.xml><?xml version="1.0" encoding="utf-8"?>
<formControlPr xmlns="http://schemas.microsoft.com/office/spreadsheetml/2009/9/main" objectType="Drop" dropStyle="combo" dx="16" fmlaLink="D115" fmlaRange="Costs!$M$2:$M$23" noThreeD="1" sel="1" val="0"/>
</file>

<file path=xl/ctrlProps/ctrlProp131.xml><?xml version="1.0" encoding="utf-8"?>
<formControlPr xmlns="http://schemas.microsoft.com/office/spreadsheetml/2009/9/main" objectType="Drop" dropStyle="combo" dx="16" fmlaLink="E115" fmlaRange="Costs!$M$2:$M$23" noThreeD="1" sel="1" val="0"/>
</file>

<file path=xl/ctrlProps/ctrlProp132.xml><?xml version="1.0" encoding="utf-8"?>
<formControlPr xmlns="http://schemas.microsoft.com/office/spreadsheetml/2009/9/main" objectType="Drop" dropStyle="combo" dx="20" fmlaLink="G4" fmlaRange="TranslationInterface!$A$1:$A$3" sel="1" val="0"/>
</file>

<file path=xl/ctrlProps/ctrlProp133.xml><?xml version="1.0" encoding="utf-8"?>
<formControlPr xmlns="http://schemas.microsoft.com/office/spreadsheetml/2009/9/main" objectType="Drop" dropStyle="combo" dx="20" fmlaLink="$H$170" fmlaRange="$I$196:$I$197" noThreeD="1" sel="2" val="0"/>
</file>

<file path=xl/ctrlProps/ctrlProp134.xml><?xml version="1.0" encoding="utf-8"?>
<formControlPr xmlns="http://schemas.microsoft.com/office/spreadsheetml/2009/9/main" objectType="Drop" dropStyle="combo" dx="20" fmlaLink="$H$172" fmlaRange="$L$196:$L$201" noThreeD="1" sel="5" val="0"/>
</file>

<file path=xl/ctrlProps/ctrlProp135.xml><?xml version="1.0" encoding="utf-8"?>
<formControlPr xmlns="http://schemas.microsoft.com/office/spreadsheetml/2009/9/main" objectType="Drop" dropStyle="combo" dx="20" fmlaLink="$H$183" fmlaRange="$I$196:$I$197" noThreeD="1" sel="2" val="0"/>
</file>

<file path=xl/ctrlProps/ctrlProp136.xml><?xml version="1.0" encoding="utf-8"?>
<formControlPr xmlns="http://schemas.microsoft.com/office/spreadsheetml/2009/9/main" objectType="Drop" dropStyle="combo" dx="20" fmlaLink="$H$171" fmlaRange="$I$145:$I$160" noThreeD="1" sel="1" val="0"/>
</file>

<file path=xl/ctrlProps/ctrlProp137.xml><?xml version="1.0" encoding="utf-8"?>
<formControlPr xmlns="http://schemas.microsoft.com/office/spreadsheetml/2009/9/main" objectType="Drop" dropStyle="combo" dx="20" fmlaLink="$H$184" fmlaRange="$I$165:$I$170" noThreeD="1" sel="1" val="0"/>
</file>

<file path=xl/ctrlProps/ctrlProp138.xml><?xml version="1.0" encoding="utf-8"?>
<formControlPr xmlns="http://schemas.microsoft.com/office/spreadsheetml/2009/9/main" objectType="Drop" dropStyle="combo" dx="20" fmlaLink="$H$174" fmlaRange="$I$176:$I$190" noThreeD="1" sel="2" val="0"/>
</file>

<file path=xl/ctrlProps/ctrlProp139.xml><?xml version="1.0" encoding="utf-8"?>
<formControlPr xmlns="http://schemas.microsoft.com/office/spreadsheetml/2009/9/main" objectType="Drop" dropStyle="combo" dx="20" fmlaLink="$H$187" fmlaRange="$I$176:$I$190" noThreeD="1" sel="14" val="7"/>
</file>

<file path=xl/ctrlProps/ctrlProp14.xml><?xml version="1.0" encoding="utf-8"?>
<formControlPr xmlns="http://schemas.microsoft.com/office/spreadsheetml/2009/9/main" objectType="Drop" dropStyle="combo" dx="16" fmlaLink="C27" fmlaRange="'Default data'!$A$27:$A$33" noThreeD="1" sel="1" val="0"/>
</file>

<file path=xl/ctrlProps/ctrlProp140.xml><?xml version="1.0" encoding="utf-8"?>
<formControlPr xmlns="http://schemas.microsoft.com/office/spreadsheetml/2009/9/main" objectType="Drop" dropStyle="combo" dx="20" fmlaLink="$H$185" fmlaRange="$N$196:$N$199" noThreeD="1" sel="1" val="0"/>
</file>

<file path=xl/ctrlProps/ctrlProp141.xml><?xml version="1.0" encoding="utf-8"?>
<formControlPr xmlns="http://schemas.microsoft.com/office/spreadsheetml/2009/9/main" objectType="Drop" dropStyle="combo" dx="20" fmlaLink="$H$182" fmlaRange="$I$192:$I$193" noThreeD="1" sel="1" val="0"/>
</file>

<file path=xl/ctrlProps/ctrlProp15.xml><?xml version="1.0" encoding="utf-8"?>
<formControlPr xmlns="http://schemas.microsoft.com/office/spreadsheetml/2009/9/main" objectType="Drop" dropStyle="combo" dx="16" fmlaLink="D27" fmlaRange="'Default data'!$A$27:$A$33" noThreeD="1" sel="5" val="0"/>
</file>

<file path=xl/ctrlProps/ctrlProp16.xml><?xml version="1.0" encoding="utf-8"?>
<formControlPr xmlns="http://schemas.microsoft.com/office/spreadsheetml/2009/9/main" objectType="Drop" dropStyle="combo" dx="16" fmlaLink="E27" fmlaRange="'Default data'!$A$27:$A$33" noThreeD="1" sel="5" val="0"/>
</file>

<file path=xl/ctrlProps/ctrlProp17.xml><?xml version="1.0" encoding="utf-8"?>
<formControlPr xmlns="http://schemas.microsoft.com/office/spreadsheetml/2009/9/main" objectType="Drop" dropStyle="combo" dx="16" fmlaLink="F27" fmlaRange="'Default data'!$A$27:$A$33" noThreeD="1" sel="5" val="0"/>
</file>

<file path=xl/ctrlProps/ctrlProp18.xml><?xml version="1.0" encoding="utf-8"?>
<formControlPr xmlns="http://schemas.microsoft.com/office/spreadsheetml/2009/9/main" objectType="Drop" dropStyle="combo" dx="16" fmlaLink="G27" fmlaRange="'Default data'!$A$27:$A$33" noThreeD="1" sel="1" val="0"/>
</file>

<file path=xl/ctrlProps/ctrlProp19.xml><?xml version="1.0" encoding="utf-8"?>
<formControlPr xmlns="http://schemas.microsoft.com/office/spreadsheetml/2009/9/main" objectType="Drop" dropStyle="combo" dx="16" fmlaLink="B64" fmlaRange="'Default data'!$A$27:$A$33" noThreeD="1" sel="2" val="0"/>
</file>

<file path=xl/ctrlProps/ctrlProp2.xml><?xml version="1.0" encoding="utf-8"?>
<formControlPr xmlns="http://schemas.microsoft.com/office/spreadsheetml/2009/9/main" objectType="Drop" dropStyle="combo" dx="16" fmlaLink="B9" fmlaRange="'Default data'!$A$2:$A$6" noThreeD="1" sel="2" val="0"/>
</file>

<file path=xl/ctrlProps/ctrlProp20.xml><?xml version="1.0" encoding="utf-8"?>
<formControlPr xmlns="http://schemas.microsoft.com/office/spreadsheetml/2009/9/main" objectType="Drop" dropStyle="combo" dx="16" fmlaLink="D64" fmlaRange="'Default data'!$A$27:$A$33" noThreeD="1" sel="1" val="0"/>
</file>

<file path=xl/ctrlProps/ctrlProp21.xml><?xml version="1.0" encoding="utf-8"?>
<formControlPr xmlns="http://schemas.microsoft.com/office/spreadsheetml/2009/9/main" objectType="Drop" dropStyle="combo" dx="16" fmlaLink="C9" fmlaRange="'Default data'!$A$2:$A$6" noThreeD="1" sel="2" val="0"/>
</file>

<file path=xl/ctrlProps/ctrlProp22.xml><?xml version="1.0" encoding="utf-8"?>
<formControlPr xmlns="http://schemas.microsoft.com/office/spreadsheetml/2009/9/main" objectType="Drop" dropStyle="combo" dx="16" fmlaLink="C12" fmlaRange="'Default data'!$A$9:$A$12" noThreeD="1" sel="3" val="0"/>
</file>

<file path=xl/ctrlProps/ctrlProp23.xml><?xml version="1.0" encoding="utf-8"?>
<formControlPr xmlns="http://schemas.microsoft.com/office/spreadsheetml/2009/9/main" objectType="Drop" dropStyle="combo" dx="16" fmlaLink="B20" fmlaRange="'Default data'!$A$44:$A$52" noThreeD="1" sel="2" val="0"/>
</file>

<file path=xl/ctrlProps/ctrlProp24.xml><?xml version="1.0" encoding="utf-8"?>
<formControlPr xmlns="http://schemas.microsoft.com/office/spreadsheetml/2009/9/main" objectType="Drop" dropStyle="combo" dx="16" fmlaLink="C20" fmlaRange="'Default data'!$A$44:$A$52" noThreeD="1" sel="1" val="0"/>
</file>

<file path=xl/ctrlProps/ctrlProp25.xml><?xml version="1.0" encoding="utf-8"?>
<formControlPr xmlns="http://schemas.microsoft.com/office/spreadsheetml/2009/9/main" objectType="Drop" dropStyle="combo" dx="16" fmlaLink="D20" fmlaRange="'Default data'!$A$44:$A$52" noThreeD="1" sel="2" val="0"/>
</file>

<file path=xl/ctrlProps/ctrlProp26.xml><?xml version="1.0" encoding="utf-8"?>
<formControlPr xmlns="http://schemas.microsoft.com/office/spreadsheetml/2009/9/main" objectType="Drop" dropStyle="combo" dx="16" fmlaLink="E20" fmlaRange="'Default data'!$A$44:$A$52" noThreeD="1" sel="2" val="0"/>
</file>

<file path=xl/ctrlProps/ctrlProp27.xml><?xml version="1.0" encoding="utf-8"?>
<formControlPr xmlns="http://schemas.microsoft.com/office/spreadsheetml/2009/9/main" objectType="Drop" dropStyle="combo" dx="16" fmlaLink="F20" fmlaRange="'Default data'!$A$44:$A$52" noThreeD="1" sel="2" val="0"/>
</file>

<file path=xl/ctrlProps/ctrlProp28.xml><?xml version="1.0" encoding="utf-8"?>
<formControlPr xmlns="http://schemas.microsoft.com/office/spreadsheetml/2009/9/main" objectType="Drop" dropStyle="combo" dx="16" fmlaLink="G20" fmlaRange="'Default data'!$A$44:$A$52" noThreeD="1" sel="1" val="0"/>
</file>

<file path=xl/ctrlProps/ctrlProp29.xml><?xml version="1.0" encoding="utf-8"?>
<formControlPr xmlns="http://schemas.microsoft.com/office/spreadsheetml/2009/9/main" objectType="Drop" dropStyle="combo" dx="16" fmlaLink="B57" fmlaRange="'Default data'!$A$44:$A$52" noThreeD="1" sel="2" val="0"/>
</file>

<file path=xl/ctrlProps/ctrlProp3.xml><?xml version="1.0" encoding="utf-8"?>
<formControlPr xmlns="http://schemas.microsoft.com/office/spreadsheetml/2009/9/main" objectType="Drop" dropStyle="combo" dx="16" fmlaLink="B12" fmlaRange="'Default data'!$A$9:$A$12" noThreeD="1" sel="3" val="0"/>
</file>

<file path=xl/ctrlProps/ctrlProp30.xml><?xml version="1.0" encoding="utf-8"?>
<formControlPr xmlns="http://schemas.microsoft.com/office/spreadsheetml/2009/9/main" objectType="Drop" dropStyle="combo" dx="16" fmlaLink="C57" fmlaRange="'Default data'!$A$44:$A$52" noThreeD="1" sel="2" val="0"/>
</file>

<file path=xl/ctrlProps/ctrlProp31.xml><?xml version="1.0" encoding="utf-8"?>
<formControlPr xmlns="http://schemas.microsoft.com/office/spreadsheetml/2009/9/main" objectType="Drop" dropStyle="combo" dx="16" fmlaLink="D57" fmlaRange="'Default data'!$A$44:$A$52" noThreeD="1" sel="1" val="0"/>
</file>

<file path=xl/ctrlProps/ctrlProp32.xml><?xml version="1.0" encoding="utf-8"?>
<formControlPr xmlns="http://schemas.microsoft.com/office/spreadsheetml/2009/9/main" objectType="Drop" dropStyle="combo" dx="16" fmlaLink="B96" fmlaRange="'Default data'!$A$44:$A$52" noThreeD="1" sel="2" val="0"/>
</file>

<file path=xl/ctrlProps/ctrlProp33.xml><?xml version="1.0" encoding="utf-8"?>
<formControlPr xmlns="http://schemas.microsoft.com/office/spreadsheetml/2009/9/main" objectType="Drop" dropStyle="combo" dx="16" fmlaLink="C96" fmlaRange="'Default data'!$A$44:$A$52" noThreeD="1" sel="1" val="0"/>
</file>

<file path=xl/ctrlProps/ctrlProp34.xml><?xml version="1.0" encoding="utf-8"?>
<formControlPr xmlns="http://schemas.microsoft.com/office/spreadsheetml/2009/9/main" objectType="Drop" dropStyle="combo" dx="16" fmlaLink="D96" fmlaRange="'Default data'!$A$44:$A$52" noThreeD="1" sel="1" val="0"/>
</file>

<file path=xl/ctrlProps/ctrlProp35.xml><?xml version="1.0" encoding="utf-8"?>
<formControlPr xmlns="http://schemas.microsoft.com/office/spreadsheetml/2009/9/main" objectType="Drop" dropStyle="combo" dx="16" fmlaLink="E96" fmlaRange="'Default data'!$A$44:$A$52" noThreeD="1" sel="1" val="0"/>
</file>

<file path=xl/ctrlProps/ctrlProp36.xml><?xml version="1.0" encoding="utf-8"?>
<formControlPr xmlns="http://schemas.microsoft.com/office/spreadsheetml/2009/9/main" objectType="Drop" dropStyle="combo" dx="16" fmlaLink="B30" fmlaRange="Products!$C$2:$C$128" noThreeD="1" sel="1" val="0"/>
</file>

<file path=xl/ctrlProps/ctrlProp37.xml><?xml version="1.0" encoding="utf-8"?>
<formControlPr xmlns="http://schemas.microsoft.com/office/spreadsheetml/2009/9/main" objectType="Drop" dropStyle="combo" dx="16" fmlaLink="C30" fmlaRange="Products!$C$2:$C$128" noThreeD="1" sel="1" val="0"/>
</file>

<file path=xl/ctrlProps/ctrlProp38.xml><?xml version="1.0" encoding="utf-8"?>
<formControlPr xmlns="http://schemas.microsoft.com/office/spreadsheetml/2009/9/main" objectType="Drop" dropStyle="combo" dx="16" fmlaLink="D30" fmlaRange="Products!$C$2:$C$128" noThreeD="1" sel="1" val="0"/>
</file>

<file path=xl/ctrlProps/ctrlProp39.xml><?xml version="1.0" encoding="utf-8"?>
<formControlPr xmlns="http://schemas.microsoft.com/office/spreadsheetml/2009/9/main" objectType="Drop" dropStyle="combo" dx="16" fmlaLink="E30" fmlaRange="Products!$C$2:$C$128" noThreeD="1" sel="1" val="0"/>
</file>

<file path=xl/ctrlProps/ctrlProp4.xml><?xml version="1.0" encoding="utf-8"?>
<formControlPr xmlns="http://schemas.microsoft.com/office/spreadsheetml/2009/9/main" objectType="Drop" dropStyle="combo" dx="16" fmlaLink="B13" fmlaRange="'Default data'!$A$15:$A$18" noThreeD="1" sel="1" val="0"/>
</file>

<file path=xl/ctrlProps/ctrlProp40.xml><?xml version="1.0" encoding="utf-8"?>
<formControlPr xmlns="http://schemas.microsoft.com/office/spreadsheetml/2009/9/main" objectType="Drop" dropStyle="combo" dx="16" fmlaLink="F30" fmlaRange="Products!$C$2:$C$128" noThreeD="1" sel="1" val="0"/>
</file>

<file path=xl/ctrlProps/ctrlProp41.xml><?xml version="1.0" encoding="utf-8"?>
<formControlPr xmlns="http://schemas.microsoft.com/office/spreadsheetml/2009/9/main" objectType="Drop" dropStyle="combo" dx="16" fmlaLink="G30" fmlaRange="Products!$C$2:$C$128" noThreeD="1" sel="1" val="0"/>
</file>

<file path=xl/ctrlProps/ctrlProp42.xml><?xml version="1.0" encoding="utf-8"?>
<formControlPr xmlns="http://schemas.microsoft.com/office/spreadsheetml/2009/9/main" objectType="Drop" dropStyle="combo" dx="16" fmlaLink="B67" fmlaRange="Products!$C$2:$C$128" noThreeD="1" sel="1" val="0"/>
</file>

<file path=xl/ctrlProps/ctrlProp43.xml><?xml version="1.0" encoding="utf-8"?>
<formControlPr xmlns="http://schemas.microsoft.com/office/spreadsheetml/2009/9/main" objectType="Drop" dropStyle="combo" dx="16" fmlaLink="C67" fmlaRange="Products!$C$2:$C$128" noThreeD="1" sel="1" val="0"/>
</file>

<file path=xl/ctrlProps/ctrlProp44.xml><?xml version="1.0" encoding="utf-8"?>
<formControlPr xmlns="http://schemas.microsoft.com/office/spreadsheetml/2009/9/main" objectType="Drop" dropStyle="combo" dx="16" fmlaLink="D67" fmlaRange="Products!$C$2:$C$128" noThreeD="1" sel="1" val="0"/>
</file>

<file path=xl/ctrlProps/ctrlProp45.xml><?xml version="1.0" encoding="utf-8"?>
<formControlPr xmlns="http://schemas.microsoft.com/office/spreadsheetml/2009/9/main" objectType="Drop" dropStyle="combo" dx="16" fmlaLink="B101" fmlaRange="Products!$C$2:$C$128" noThreeD="1" sel="1" val="0"/>
</file>

<file path=xl/ctrlProps/ctrlProp46.xml><?xml version="1.0" encoding="utf-8"?>
<formControlPr xmlns="http://schemas.microsoft.com/office/spreadsheetml/2009/9/main" objectType="Drop" dropStyle="combo" dx="16" fmlaLink="C101" fmlaRange="Products!$C$2:$C$128" noThreeD="1" sel="1" val="0"/>
</file>

<file path=xl/ctrlProps/ctrlProp47.xml><?xml version="1.0" encoding="utf-8"?>
<formControlPr xmlns="http://schemas.microsoft.com/office/spreadsheetml/2009/9/main" objectType="Drop" dropStyle="combo" dx="16" fmlaLink="D101" fmlaRange="Products!$C$2:$C$128" noThreeD="1" sel="1" val="0"/>
</file>

<file path=xl/ctrlProps/ctrlProp48.xml><?xml version="1.0" encoding="utf-8"?>
<formControlPr xmlns="http://schemas.microsoft.com/office/spreadsheetml/2009/9/main" objectType="Drop" dropStyle="combo" dx="16" fmlaLink="E101" fmlaRange="Products!$C$2:$C$128" noThreeD="1" sel="1" val="0"/>
</file>

<file path=xl/ctrlProps/ctrlProp49.xml><?xml version="1.0" encoding="utf-8"?>
<formControlPr xmlns="http://schemas.microsoft.com/office/spreadsheetml/2009/9/main" objectType="Drop" dropStyle="combo" dx="16" fmlaLink="B25" fmlaRange="'Default data'!$A$90:$A$94" noThreeD="1" sel="3" val="0"/>
</file>

<file path=xl/ctrlProps/ctrlProp5.xml><?xml version="1.0" encoding="utf-8"?>
<formControlPr xmlns="http://schemas.microsoft.com/office/spreadsheetml/2009/9/main" objectType="Drop" dropStyle="combo" dx="16" fmlaLink="B50" fmlaRange="'Default data'!$A$27:$A$33" noThreeD="1" sel="1" val="0"/>
</file>

<file path=xl/ctrlProps/ctrlProp50.xml><?xml version="1.0" encoding="utf-8"?>
<formControlPr xmlns="http://schemas.microsoft.com/office/spreadsheetml/2009/9/main" objectType="Drop" dropStyle="combo" dx="16" fmlaLink="C25" fmlaRange="'Default data'!$A$90:$A$94" noThreeD="1" sel="1" val="0"/>
</file>

<file path=xl/ctrlProps/ctrlProp51.xml><?xml version="1.0" encoding="utf-8"?>
<formControlPr xmlns="http://schemas.microsoft.com/office/spreadsheetml/2009/9/main" objectType="Drop" dropStyle="combo" dx="16" fmlaLink="D25" fmlaRange="'Default data'!$A$90:$A$94" noThreeD="1" sel="3" val="0"/>
</file>

<file path=xl/ctrlProps/ctrlProp52.xml><?xml version="1.0" encoding="utf-8"?>
<formControlPr xmlns="http://schemas.microsoft.com/office/spreadsheetml/2009/9/main" objectType="Drop" dropStyle="combo" dx="16" fmlaLink="E25" fmlaRange="'Default data'!$A$90:$A$94" noThreeD="1" sel="3" val="0"/>
</file>

<file path=xl/ctrlProps/ctrlProp53.xml><?xml version="1.0" encoding="utf-8"?>
<formControlPr xmlns="http://schemas.microsoft.com/office/spreadsheetml/2009/9/main" objectType="Drop" dropStyle="combo" dx="16" fmlaLink="F25" fmlaRange="'Default data'!$A$90:$A$94" noThreeD="1" sel="3" val="0"/>
</file>

<file path=xl/ctrlProps/ctrlProp54.xml><?xml version="1.0" encoding="utf-8"?>
<formControlPr xmlns="http://schemas.microsoft.com/office/spreadsheetml/2009/9/main" objectType="Drop" dropStyle="combo" dx="16" fmlaLink="G25" fmlaRange="'Default data'!$A$90:$A$94" noThreeD="1" sel="1" val="0"/>
</file>

<file path=xl/ctrlProps/ctrlProp55.xml><?xml version="1.0" encoding="utf-8"?>
<formControlPr xmlns="http://schemas.microsoft.com/office/spreadsheetml/2009/9/main" objectType="Drop" dropStyle="combo" dx="16" fmlaLink="B48" fmlaRange="'Default data'!$A$90:$A$94" noThreeD="1" sel="1" val="0"/>
</file>

<file path=xl/ctrlProps/ctrlProp56.xml><?xml version="1.0" encoding="utf-8"?>
<formControlPr xmlns="http://schemas.microsoft.com/office/spreadsheetml/2009/9/main" objectType="Drop" dropStyle="combo" dx="16" fmlaLink="C48" fmlaRange="'Default data'!$A$90:$A$94" noThreeD="1" sel="1" val="0"/>
</file>

<file path=xl/ctrlProps/ctrlProp57.xml><?xml version="1.0" encoding="utf-8"?>
<formControlPr xmlns="http://schemas.microsoft.com/office/spreadsheetml/2009/9/main" objectType="Drop" dropStyle="combo" dx="16" fmlaLink="D48" fmlaRange="'Default data'!$A$90:$A$94" noThreeD="1" sel="1" val="0"/>
</file>

<file path=xl/ctrlProps/ctrlProp58.xml><?xml version="1.0" encoding="utf-8"?>
<formControlPr xmlns="http://schemas.microsoft.com/office/spreadsheetml/2009/9/main" objectType="Drop" dropStyle="combo" dx="16" fmlaLink="E48" fmlaRange="'Default data'!$A$90:$A$94" noThreeD="1" sel="1" val="0"/>
</file>

<file path=xl/ctrlProps/ctrlProp59.xml><?xml version="1.0" encoding="utf-8"?>
<formControlPr xmlns="http://schemas.microsoft.com/office/spreadsheetml/2009/9/main" objectType="Drop" dropStyle="combo" dx="16" fmlaLink="F48" fmlaRange="'Default data'!$A$90:$A$94" noThreeD="1" sel="1" val="0"/>
</file>

<file path=xl/ctrlProps/ctrlProp6.xml><?xml version="1.0" encoding="utf-8"?>
<formControlPr xmlns="http://schemas.microsoft.com/office/spreadsheetml/2009/9/main" objectType="Drop" dropStyle="combo" dx="16" fmlaLink="C50" fmlaRange="'Default data'!$A$27:$A$33" noThreeD="1" sel="1" val="0"/>
</file>

<file path=xl/ctrlProps/ctrlProp60.xml><?xml version="1.0" encoding="utf-8"?>
<formControlPr xmlns="http://schemas.microsoft.com/office/spreadsheetml/2009/9/main" objectType="Drop" dropStyle="combo" dx="16" fmlaLink="G48" fmlaRange="'Default data'!$A$90:$A$94" noThreeD="1" sel="1" val="0"/>
</file>

<file path=xl/ctrlProps/ctrlProp61.xml><?xml version="1.0" encoding="utf-8"?>
<formControlPr xmlns="http://schemas.microsoft.com/office/spreadsheetml/2009/9/main" objectType="Drop" dropStyle="combo" dx="16" fmlaLink="B62" fmlaRange="'Default data'!$A$90:$A$94" noThreeD="1" sel="1" val="0"/>
</file>

<file path=xl/ctrlProps/ctrlProp62.xml><?xml version="1.0" encoding="utf-8"?>
<formControlPr xmlns="http://schemas.microsoft.com/office/spreadsheetml/2009/9/main" objectType="Drop" dropStyle="combo" dx="16" fmlaLink="D62" fmlaRange="'Default data'!$A$90:$A$94" noThreeD="1" sel="1" val="0"/>
</file>

<file path=xl/ctrlProps/ctrlProp63.xml><?xml version="1.0" encoding="utf-8"?>
<formControlPr xmlns="http://schemas.microsoft.com/office/spreadsheetml/2009/9/main" objectType="Drop" dropStyle="combo" dx="16" fmlaLink="B85" fmlaRange="'Default data'!$A$90:$A$94" noThreeD="1" sel="1" val="0"/>
</file>

<file path=xl/ctrlProps/ctrlProp64.xml><?xml version="1.0" encoding="utf-8"?>
<formControlPr xmlns="http://schemas.microsoft.com/office/spreadsheetml/2009/9/main" objectType="Drop" dropStyle="combo" dx="16" fmlaLink="B22" fmlaRange="'Default data'!$A$71:$A$87" noThreeD="1" sel="5" val="4"/>
</file>

<file path=xl/ctrlProps/ctrlProp65.xml><?xml version="1.0" encoding="utf-8"?>
<formControlPr xmlns="http://schemas.microsoft.com/office/spreadsheetml/2009/9/main" objectType="Drop" dropStyle="combo" dx="16" fmlaLink="C22" fmlaRange="'Default data'!$A$71:$A$87" noThreeD="1" sel="1" val="0"/>
</file>

<file path=xl/ctrlProps/ctrlProp66.xml><?xml version="1.0" encoding="utf-8"?>
<formControlPr xmlns="http://schemas.microsoft.com/office/spreadsheetml/2009/9/main" objectType="Drop" dropStyle="combo" dx="16" fmlaLink="D22" fmlaRange="'Default data'!$A$71:$A$87" noThreeD="1" sel="5" val="4"/>
</file>

<file path=xl/ctrlProps/ctrlProp67.xml><?xml version="1.0" encoding="utf-8"?>
<formControlPr xmlns="http://schemas.microsoft.com/office/spreadsheetml/2009/9/main" objectType="Drop" dropStyle="combo" dx="16" fmlaLink="E22" fmlaRange="'Default data'!$A$71:$A$87" noThreeD="1" sel="5" val="4"/>
</file>

<file path=xl/ctrlProps/ctrlProp68.xml><?xml version="1.0" encoding="utf-8"?>
<formControlPr xmlns="http://schemas.microsoft.com/office/spreadsheetml/2009/9/main" objectType="Drop" dropStyle="combo" dx="16" fmlaLink="F22" fmlaRange="'Default data'!$A$71:$A$87" noThreeD="1" sel="5" val="2"/>
</file>

<file path=xl/ctrlProps/ctrlProp69.xml><?xml version="1.0" encoding="utf-8"?>
<formControlPr xmlns="http://schemas.microsoft.com/office/spreadsheetml/2009/9/main" objectType="Drop" dropStyle="combo" dx="16" fmlaLink="G22" fmlaRange="'Default data'!$A$71:$A$87" noThreeD="1" sel="1" val="0"/>
</file>

<file path=xl/ctrlProps/ctrlProp7.xml><?xml version="1.0" encoding="utf-8"?>
<formControlPr xmlns="http://schemas.microsoft.com/office/spreadsheetml/2009/9/main" objectType="Drop" dropStyle="combo" dx="16" fmlaLink="D50" fmlaRange="'Default data'!$A$27:$A$33" noThreeD="1" sel="1" val="0"/>
</file>

<file path=xl/ctrlProps/ctrlProp70.xml><?xml version="1.0" encoding="utf-8"?>
<formControlPr xmlns="http://schemas.microsoft.com/office/spreadsheetml/2009/9/main" objectType="Drop" dropStyle="combo" dx="16" fmlaLink="B42" fmlaRange="'Default data'!$A$71:$A$87" noThreeD="1" sel="1" val="0"/>
</file>

<file path=xl/ctrlProps/ctrlProp71.xml><?xml version="1.0" encoding="utf-8"?>
<formControlPr xmlns="http://schemas.microsoft.com/office/spreadsheetml/2009/9/main" objectType="Drop" dropStyle="combo" dx="16" fmlaLink="C42" fmlaRange="'Default data'!$A$71:$A$87" noThreeD="1" sel="1" val="0"/>
</file>

<file path=xl/ctrlProps/ctrlProp72.xml><?xml version="1.0" encoding="utf-8"?>
<formControlPr xmlns="http://schemas.microsoft.com/office/spreadsheetml/2009/9/main" objectType="Drop" dropStyle="combo" dx="16" fmlaLink="D42" fmlaRange="'Default data'!$A$71:$A$87" noThreeD="1" sel="1" val="0"/>
</file>

<file path=xl/ctrlProps/ctrlProp73.xml><?xml version="1.0" encoding="utf-8"?>
<formControlPr xmlns="http://schemas.microsoft.com/office/spreadsheetml/2009/9/main" objectType="Drop" dropStyle="combo" dx="16" fmlaLink="E42" fmlaRange="'Default data'!$A$71:$A$87" noThreeD="1" sel="1" val="0"/>
</file>

<file path=xl/ctrlProps/ctrlProp74.xml><?xml version="1.0" encoding="utf-8"?>
<formControlPr xmlns="http://schemas.microsoft.com/office/spreadsheetml/2009/9/main" objectType="Drop" dropStyle="combo" dx="16" fmlaLink="F42" fmlaRange="'Default data'!$A$71:$A$87" noThreeD="1" sel="1" val="0"/>
</file>

<file path=xl/ctrlProps/ctrlProp75.xml><?xml version="1.0" encoding="utf-8"?>
<formControlPr xmlns="http://schemas.microsoft.com/office/spreadsheetml/2009/9/main" objectType="Drop" dropStyle="combo" dx="16" fmlaLink="G42" fmlaRange="'Default data'!$A$71:$A$87" noThreeD="1" sel="1" val="0"/>
</file>

<file path=xl/ctrlProps/ctrlProp76.xml><?xml version="1.0" encoding="utf-8"?>
<formControlPr xmlns="http://schemas.microsoft.com/office/spreadsheetml/2009/9/main" objectType="Drop" dropStyle="combo" dx="16" fmlaLink="B59" fmlaRange="'Default data'!$A$71:$A$87" noThreeD="1" sel="1" val="0"/>
</file>

<file path=xl/ctrlProps/ctrlProp77.xml><?xml version="1.0" encoding="utf-8"?>
<formControlPr xmlns="http://schemas.microsoft.com/office/spreadsheetml/2009/9/main" objectType="Drop" dropStyle="combo" dx="16" fmlaLink="D59" fmlaRange="'Default data'!$A$71:$A$87" noThreeD="1" sel="1" val="0"/>
</file>

<file path=xl/ctrlProps/ctrlProp78.xml><?xml version="1.0" encoding="utf-8"?>
<formControlPr xmlns="http://schemas.microsoft.com/office/spreadsheetml/2009/9/main" objectType="Drop" dropStyle="combo" dx="16" fmlaLink="B98" fmlaRange="'Default data'!$A$71:$A$87" noThreeD="1" sel="1" val="0"/>
</file>

<file path=xl/ctrlProps/ctrlProp79.xml><?xml version="1.0" encoding="utf-8"?>
<formControlPr xmlns="http://schemas.microsoft.com/office/spreadsheetml/2009/9/main" objectType="Drop" dropStyle="combo" dx="16" fmlaLink="C98" fmlaRange="'Default data'!$A$71:$A$87" noThreeD="1" sel="1" val="0"/>
</file>

<file path=xl/ctrlProps/ctrlProp8.xml><?xml version="1.0" encoding="utf-8"?>
<formControlPr xmlns="http://schemas.microsoft.com/office/spreadsheetml/2009/9/main" objectType="Drop" dropStyle="combo" dx="16" fmlaLink="E50" fmlaRange="'Default data'!$A$27:$A$33" noThreeD="1" sel="1" val="0"/>
</file>

<file path=xl/ctrlProps/ctrlProp80.xml><?xml version="1.0" encoding="utf-8"?>
<formControlPr xmlns="http://schemas.microsoft.com/office/spreadsheetml/2009/9/main" objectType="Drop" dropStyle="combo" dx="16" fmlaLink="D98" fmlaRange="'Default data'!$A$71:$A$87" noThreeD="1" sel="1" val="0"/>
</file>

<file path=xl/ctrlProps/ctrlProp81.xml><?xml version="1.0" encoding="utf-8"?>
<formControlPr xmlns="http://schemas.microsoft.com/office/spreadsheetml/2009/9/main" objectType="Drop" dropStyle="combo" dx="16" fmlaLink="E98" fmlaRange="'Default data'!$A$71:$A$87" noThreeD="1" sel="1" val="0"/>
</file>

<file path=xl/ctrlProps/ctrlProp82.xml><?xml version="1.0" encoding="utf-8"?>
<formControlPr xmlns="http://schemas.microsoft.com/office/spreadsheetml/2009/9/main" objectType="Drop" dropStyle="combo" dx="16" fmlaLink="B113" fmlaRange="'Default data'!$A$71:$A$87" noThreeD="1" sel="1" val="0"/>
</file>

<file path=xl/ctrlProps/ctrlProp83.xml><?xml version="1.0" encoding="utf-8"?>
<formControlPr xmlns="http://schemas.microsoft.com/office/spreadsheetml/2009/9/main" objectType="Drop" dropStyle="combo" dx="16" fmlaLink="C113" fmlaRange="'Default data'!$A$71:$A$87" noThreeD="1" sel="1" val="0"/>
</file>

<file path=xl/ctrlProps/ctrlProp84.xml><?xml version="1.0" encoding="utf-8"?>
<formControlPr xmlns="http://schemas.microsoft.com/office/spreadsheetml/2009/9/main" objectType="Drop" dropStyle="combo" dx="16" fmlaLink="D113" fmlaRange="'Default data'!$A$71:$A$87" noThreeD="1" sel="1" val="0"/>
</file>

<file path=xl/ctrlProps/ctrlProp85.xml><?xml version="1.0" encoding="utf-8"?>
<formControlPr xmlns="http://schemas.microsoft.com/office/spreadsheetml/2009/9/main" objectType="Drop" dropStyle="combo" dx="16" fmlaLink="E113" fmlaRange="'Default data'!$A$71:$A$87" noThreeD="1" sel="1" val="0"/>
</file>

<file path=xl/ctrlProps/ctrlProp86.xml><?xml version="1.0" encoding="utf-8"?>
<formControlPr xmlns="http://schemas.microsoft.com/office/spreadsheetml/2009/9/main" objectType="Drop" dropStyle="combo" dx="16" fmlaLink="B79" fmlaRange="'Default data'!$A$71:$A$87" noThreeD="1" sel="1" val="0"/>
</file>

<file path=xl/ctrlProps/ctrlProp87.xml><?xml version="1.0" encoding="utf-8"?>
<formControlPr xmlns="http://schemas.microsoft.com/office/spreadsheetml/2009/9/main" objectType="Drop" dropStyle="combo" dx="16" fmlaLink="D79" fmlaRange="'Default data'!$A$71:$A$87" noThreeD="1" sel="1" val="0"/>
</file>

<file path=xl/ctrlProps/ctrlProp88.xml><?xml version="1.0" encoding="utf-8"?>
<formControlPr xmlns="http://schemas.microsoft.com/office/spreadsheetml/2009/9/main" objectType="Drop" dropStyle="combo" dx="16" fmlaLink="B118" fmlaRange="'Default data'!$A$36:$A$41" noThreeD="1" sel="4" val="0"/>
</file>

<file path=xl/ctrlProps/ctrlProp89.xml><?xml version="1.0" encoding="utf-8"?>
<formControlPr xmlns="http://schemas.microsoft.com/office/spreadsheetml/2009/9/main" objectType="Drop" dropStyle="combo" dx="16" fmlaLink="C118" fmlaRange="'Default data'!$A$36:$A$41" noThreeD="1" sel="6" val="0"/>
</file>

<file path=xl/ctrlProps/ctrlProp9.xml><?xml version="1.0" encoding="utf-8"?>
<formControlPr xmlns="http://schemas.microsoft.com/office/spreadsheetml/2009/9/main" objectType="Drop" dropStyle="combo" dx="16" fmlaLink="F50" fmlaRange="'Default data'!$A$27:$A$33" noThreeD="1" sel="1" val="0"/>
</file>

<file path=xl/ctrlProps/ctrlProp90.xml><?xml version="1.0" encoding="utf-8"?>
<formControlPr xmlns="http://schemas.microsoft.com/office/spreadsheetml/2009/9/main" objectType="Drop" dropStyle="combo" dx="16" fmlaLink="D118" fmlaRange="'Default data'!$A$36:$A$41" noThreeD="1" sel="6" val="0"/>
</file>

<file path=xl/ctrlProps/ctrlProp91.xml><?xml version="1.0" encoding="utf-8"?>
<formControlPr xmlns="http://schemas.microsoft.com/office/spreadsheetml/2009/9/main" objectType="Drop" dropStyle="combo" dx="16" fmlaLink="E118" fmlaRange="'Default data'!$A$36:$A$41" noThreeD="1" sel="6" val="0"/>
</file>

<file path=xl/ctrlProps/ctrlProp92.xml><?xml version="1.0" encoding="utf-8"?>
<formControlPr xmlns="http://schemas.microsoft.com/office/spreadsheetml/2009/9/main" objectType="Drop" dropStyle="combo" dx="16" fmlaLink="C10" fmlaRange="'Default data'!$A$97:$A$99" noThreeD="1" sel="1" val="0"/>
</file>

<file path=xl/ctrlProps/ctrlProp93.xml><?xml version="1.0" encoding="utf-8"?>
<formControlPr xmlns="http://schemas.microsoft.com/office/spreadsheetml/2009/9/main" objectType="Drop" dropStyle="combo" dx="16" fmlaLink="B10" fmlaRange="'Default data'!$A$97:$A$99" noThreeD="1" sel="1" val="0"/>
</file>

<file path=xl/ctrlProps/ctrlProp94.xml><?xml version="1.0" encoding="utf-8"?>
<formControlPr xmlns="http://schemas.microsoft.com/office/spreadsheetml/2009/9/main" objectType="Drop" dropStyle="combo" dx="16" fmlaLink="B32" fmlaRange="Products!$C$2:$C$128" noThreeD="1" sel="1" val="0"/>
</file>

<file path=xl/ctrlProps/ctrlProp95.xml><?xml version="1.0" encoding="utf-8"?>
<formControlPr xmlns="http://schemas.microsoft.com/office/spreadsheetml/2009/9/main" objectType="Drop" dropStyle="combo" dx="16" fmlaLink="C32" fmlaRange="Products!$C$2:$C$128" noThreeD="1" sel="1" val="0"/>
</file>

<file path=xl/ctrlProps/ctrlProp96.xml><?xml version="1.0" encoding="utf-8"?>
<formControlPr xmlns="http://schemas.microsoft.com/office/spreadsheetml/2009/9/main" objectType="Drop" dropStyle="combo" dx="16" fmlaLink="D32" fmlaRange="Products!$C$2:$C$128" noThreeD="1" sel="1" val="0"/>
</file>

<file path=xl/ctrlProps/ctrlProp97.xml><?xml version="1.0" encoding="utf-8"?>
<formControlPr xmlns="http://schemas.microsoft.com/office/spreadsheetml/2009/9/main" objectType="Drop" dropStyle="combo" dx="16" fmlaLink="E32" fmlaRange="Products!$C$2:$C$128" noThreeD="1" sel="1" val="0"/>
</file>

<file path=xl/ctrlProps/ctrlProp98.xml><?xml version="1.0" encoding="utf-8"?>
<formControlPr xmlns="http://schemas.microsoft.com/office/spreadsheetml/2009/9/main" objectType="Drop" dropStyle="combo" dx="16" fmlaLink="F32" fmlaRange="Products!$C$2:$C$128" noThreeD="1" sel="1" val="0"/>
</file>

<file path=xl/ctrlProps/ctrlProp99.xml><?xml version="1.0" encoding="utf-8"?>
<formControlPr xmlns="http://schemas.microsoft.com/office/spreadsheetml/2009/9/main" objectType="Drop" dropStyle="combo" dx="16" fmlaLink="G32" fmlaRange="Products!$C$2:$C$128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120</xdr:row>
      <xdr:rowOff>0</xdr:rowOff>
    </xdr:from>
    <xdr:to>
      <xdr:col>7</xdr:col>
      <xdr:colOff>0</xdr:colOff>
      <xdr:row>164</xdr:row>
      <xdr:rowOff>0</xdr:rowOff>
    </xdr:to>
    <xdr:graphicFrame macro="">
      <xdr:nvGraphicFramePr>
        <xdr:cNvPr id="473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3</xdr:col>
          <xdr:colOff>0</xdr:colOff>
          <xdr:row>5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2</xdr:col>
          <xdr:colOff>0</xdr:colOff>
          <xdr:row>9</xdr:row>
          <xdr:rowOff>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2</xdr:col>
          <xdr:colOff>0</xdr:colOff>
          <xdr:row>50</xdr:row>
          <xdr:rowOff>0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0</xdr:rowOff>
        </xdr:from>
        <xdr:to>
          <xdr:col>3</xdr:col>
          <xdr:colOff>0</xdr:colOff>
          <xdr:row>50</xdr:row>
          <xdr:rowOff>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0</xdr:colOff>
          <xdr:row>50</xdr:row>
          <xdr:rowOff>0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5</xdr:col>
          <xdr:colOff>0</xdr:colOff>
          <xdr:row>50</xdr:row>
          <xdr:rowOff>0</xdr:rowOff>
        </xdr:to>
        <xdr:sp macro="" textlink="">
          <xdr:nvSpPr>
            <xdr:cNvPr id="4105" name="Drop Down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0</xdr:colOff>
          <xdr:row>50</xdr:row>
          <xdr:rowOff>0</xdr:rowOff>
        </xdr:to>
        <xdr:sp macro="" textlink="">
          <xdr:nvSpPr>
            <xdr:cNvPr id="4106" name="Drop Down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50</xdr:row>
          <xdr:rowOff>0</xdr:rowOff>
        </xdr:to>
        <xdr:sp macro="" textlink="">
          <xdr:nvSpPr>
            <xdr:cNvPr id="4107" name="Drop Dow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200025</xdr:rowOff>
        </xdr:from>
        <xdr:to>
          <xdr:col>2</xdr:col>
          <xdr:colOff>0</xdr:colOff>
          <xdr:row>87</xdr:row>
          <xdr:rowOff>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85</xdr:row>
          <xdr:rowOff>200025</xdr:rowOff>
        </xdr:from>
        <xdr:to>
          <xdr:col>4</xdr:col>
          <xdr:colOff>0</xdr:colOff>
          <xdr:row>87</xdr:row>
          <xdr:rowOff>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0</xdr:colOff>
          <xdr:row>27</xdr:row>
          <xdr:rowOff>0</xdr:rowOff>
        </xdr:to>
        <xdr:sp macro="" textlink="">
          <xdr:nvSpPr>
            <xdr:cNvPr id="4128" name="Drop Down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3</xdr:col>
          <xdr:colOff>0</xdr:colOff>
          <xdr:row>27</xdr:row>
          <xdr:rowOff>0</xdr:rowOff>
        </xdr:to>
        <xdr:sp macro="" textlink="">
          <xdr:nvSpPr>
            <xdr:cNvPr id="4129" name="Drop Down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4130" name="Drop Down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0</xdr:colOff>
          <xdr:row>27</xdr:row>
          <xdr:rowOff>0</xdr:rowOff>
        </xdr:to>
        <xdr:sp macro="" textlink="">
          <xdr:nvSpPr>
            <xdr:cNvPr id="4131" name="Drop Down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4132" name="Drop Down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4133" name="Drop Down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2</xdr:col>
          <xdr:colOff>0</xdr:colOff>
          <xdr:row>64</xdr:row>
          <xdr:rowOff>0</xdr:rowOff>
        </xdr:to>
        <xdr:sp macro="" textlink="">
          <xdr:nvSpPr>
            <xdr:cNvPr id="4134" name="Drop Down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0</xdr:rowOff>
        </xdr:from>
        <xdr:to>
          <xdr:col>4</xdr:col>
          <xdr:colOff>0</xdr:colOff>
          <xdr:row>64</xdr:row>
          <xdr:rowOff>0</xdr:rowOff>
        </xdr:to>
        <xdr:sp macro="" textlink="">
          <xdr:nvSpPr>
            <xdr:cNvPr id="4135" name="Drop Down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4140" name="Drop Down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4141" name="Drop Down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4196" name="Drop Down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4197" name="Drop Down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4198" name="Drop Down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4199" name="Drop Down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4200" name="Drop Down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4201" name="Drop Down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0</xdr:rowOff>
        </xdr:from>
        <xdr:to>
          <xdr:col>2</xdr:col>
          <xdr:colOff>0</xdr:colOff>
          <xdr:row>57</xdr:row>
          <xdr:rowOff>0</xdr:rowOff>
        </xdr:to>
        <xdr:sp macro="" textlink="">
          <xdr:nvSpPr>
            <xdr:cNvPr id="4207" name="Drop Down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0</xdr:rowOff>
        </xdr:from>
        <xdr:to>
          <xdr:col>3</xdr:col>
          <xdr:colOff>0</xdr:colOff>
          <xdr:row>57</xdr:row>
          <xdr:rowOff>0</xdr:rowOff>
        </xdr:to>
        <xdr:sp macro="" textlink="">
          <xdr:nvSpPr>
            <xdr:cNvPr id="4209" name="Drop Down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0</xdr:rowOff>
        </xdr:from>
        <xdr:to>
          <xdr:col>4</xdr:col>
          <xdr:colOff>0</xdr:colOff>
          <xdr:row>57</xdr:row>
          <xdr:rowOff>0</xdr:rowOff>
        </xdr:to>
        <xdr:sp macro="" textlink="">
          <xdr:nvSpPr>
            <xdr:cNvPr id="4211" name="Drop Down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2</xdr:col>
          <xdr:colOff>0</xdr:colOff>
          <xdr:row>96</xdr:row>
          <xdr:rowOff>0</xdr:rowOff>
        </xdr:to>
        <xdr:sp macro="" textlink="">
          <xdr:nvSpPr>
            <xdr:cNvPr id="4213" name="Drop Down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95</xdr:row>
          <xdr:rowOff>0</xdr:rowOff>
        </xdr:from>
        <xdr:to>
          <xdr:col>3</xdr:col>
          <xdr:colOff>0</xdr:colOff>
          <xdr:row>96</xdr:row>
          <xdr:rowOff>0</xdr:rowOff>
        </xdr:to>
        <xdr:sp macro="" textlink="">
          <xdr:nvSpPr>
            <xdr:cNvPr id="4214" name="Drop Down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95</xdr:row>
          <xdr:rowOff>0</xdr:rowOff>
        </xdr:from>
        <xdr:to>
          <xdr:col>4</xdr:col>
          <xdr:colOff>0</xdr:colOff>
          <xdr:row>96</xdr:row>
          <xdr:rowOff>0</xdr:rowOff>
        </xdr:to>
        <xdr:sp macro="" textlink="">
          <xdr:nvSpPr>
            <xdr:cNvPr id="4215" name="Drop Down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95</xdr:row>
          <xdr:rowOff>0</xdr:rowOff>
        </xdr:from>
        <xdr:to>
          <xdr:col>5</xdr:col>
          <xdr:colOff>0</xdr:colOff>
          <xdr:row>96</xdr:row>
          <xdr:rowOff>0</xdr:rowOff>
        </xdr:to>
        <xdr:sp macro="" textlink="">
          <xdr:nvSpPr>
            <xdr:cNvPr id="4216" name="Drop Down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0</xdr:colOff>
          <xdr:row>30</xdr:row>
          <xdr:rowOff>0</xdr:rowOff>
        </xdr:to>
        <xdr:sp macro="" textlink="">
          <xdr:nvSpPr>
            <xdr:cNvPr id="4234" name="Drop Down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3</xdr:col>
          <xdr:colOff>0</xdr:colOff>
          <xdr:row>30</xdr:row>
          <xdr:rowOff>0</xdr:rowOff>
        </xdr:to>
        <xdr:sp macro="" textlink="">
          <xdr:nvSpPr>
            <xdr:cNvPr id="4235" name="Drop Down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4</xdr:col>
          <xdr:colOff>0</xdr:colOff>
          <xdr:row>30</xdr:row>
          <xdr:rowOff>0</xdr:rowOff>
        </xdr:to>
        <xdr:sp macro="" textlink="">
          <xdr:nvSpPr>
            <xdr:cNvPr id="4236" name="Drop Down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5</xdr:col>
          <xdr:colOff>0</xdr:colOff>
          <xdr:row>30</xdr:row>
          <xdr:rowOff>0</xdr:rowOff>
        </xdr:to>
        <xdr:sp macro="" textlink="">
          <xdr:nvSpPr>
            <xdr:cNvPr id="4237" name="Drop Down 141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4238" name="Drop Down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0</xdr:rowOff>
        </xdr:from>
        <xdr:to>
          <xdr:col>7</xdr:col>
          <xdr:colOff>0</xdr:colOff>
          <xdr:row>30</xdr:row>
          <xdr:rowOff>0</xdr:rowOff>
        </xdr:to>
        <xdr:sp macro="" textlink="">
          <xdr:nvSpPr>
            <xdr:cNvPr id="4239" name="Drop Down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4257" name="Drop Down 161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0</xdr:rowOff>
        </xdr:from>
        <xdr:to>
          <xdr:col>3</xdr:col>
          <xdr:colOff>0</xdr:colOff>
          <xdr:row>67</xdr:row>
          <xdr:rowOff>0</xdr:rowOff>
        </xdr:to>
        <xdr:sp macro="" textlink="">
          <xdr:nvSpPr>
            <xdr:cNvPr id="4259" name="Drop Down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4261" name="Drop Down 165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100</xdr:row>
          <xdr:rowOff>0</xdr:rowOff>
        </xdr:from>
        <xdr:to>
          <xdr:col>2</xdr:col>
          <xdr:colOff>0</xdr:colOff>
          <xdr:row>101</xdr:row>
          <xdr:rowOff>0</xdr:rowOff>
        </xdr:to>
        <xdr:sp macro="" textlink="">
          <xdr:nvSpPr>
            <xdr:cNvPr id="4263" name="Drop Down 167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100</xdr:row>
          <xdr:rowOff>0</xdr:rowOff>
        </xdr:from>
        <xdr:to>
          <xdr:col>3</xdr:col>
          <xdr:colOff>0</xdr:colOff>
          <xdr:row>101</xdr:row>
          <xdr:rowOff>0</xdr:rowOff>
        </xdr:to>
        <xdr:sp macro="" textlink="">
          <xdr:nvSpPr>
            <xdr:cNvPr id="4265" name="Drop Down 169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100</xdr:row>
          <xdr:rowOff>0</xdr:rowOff>
        </xdr:from>
        <xdr:to>
          <xdr:col>4</xdr:col>
          <xdr:colOff>0</xdr:colOff>
          <xdr:row>101</xdr:row>
          <xdr:rowOff>0</xdr:rowOff>
        </xdr:to>
        <xdr:sp macro="" textlink="">
          <xdr:nvSpPr>
            <xdr:cNvPr id="4267" name="Drop Down 171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100</xdr:row>
          <xdr:rowOff>0</xdr:rowOff>
        </xdr:from>
        <xdr:to>
          <xdr:col>5</xdr:col>
          <xdr:colOff>0</xdr:colOff>
          <xdr:row>101</xdr:row>
          <xdr:rowOff>0</xdr:rowOff>
        </xdr:to>
        <xdr:sp macro="" textlink="">
          <xdr:nvSpPr>
            <xdr:cNvPr id="4269" name="Drop Down 173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2</xdr:col>
          <xdr:colOff>0</xdr:colOff>
          <xdr:row>25</xdr:row>
          <xdr:rowOff>0</xdr:rowOff>
        </xdr:to>
        <xdr:sp macro="" textlink="">
          <xdr:nvSpPr>
            <xdr:cNvPr id="4301" name="Drop Down 205" hidden="1">
              <a:extLst>
                <a:ext uri="{63B3BB69-23CF-44E3-9099-C40C66FF867C}">
                  <a14:compatExt spid="_x0000_s4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4308" name="Drop Down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4309" name="Drop Down 213" hidden="1">
              <a:extLst>
                <a:ext uri="{63B3BB69-23CF-44E3-9099-C40C66FF867C}">
                  <a14:compatExt spid="_x0000_s4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4310" name="Drop Down 214" hidden="1">
              <a:extLst>
                <a:ext uri="{63B3BB69-23CF-44E3-9099-C40C66FF867C}">
                  <a14:compatExt spid="_x0000_s4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4311" name="Drop Down 215" hidden="1">
              <a:extLst>
                <a:ext uri="{63B3BB69-23CF-44E3-9099-C40C66FF867C}">
                  <a14:compatExt spid="_x0000_s4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4312" name="Drop Down 216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0</xdr:rowOff>
        </xdr:from>
        <xdr:to>
          <xdr:col>2</xdr:col>
          <xdr:colOff>0</xdr:colOff>
          <xdr:row>48</xdr:row>
          <xdr:rowOff>0</xdr:rowOff>
        </xdr:to>
        <xdr:sp macro="" textlink="">
          <xdr:nvSpPr>
            <xdr:cNvPr id="4313" name="Drop Down 217" hidden="1">
              <a:extLst>
                <a:ext uri="{63B3BB69-23CF-44E3-9099-C40C66FF867C}">
                  <a14:compatExt spid="_x0000_s4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0</xdr:rowOff>
        </xdr:from>
        <xdr:to>
          <xdr:col>3</xdr:col>
          <xdr:colOff>0</xdr:colOff>
          <xdr:row>48</xdr:row>
          <xdr:rowOff>0</xdr:rowOff>
        </xdr:to>
        <xdr:sp macro="" textlink="">
          <xdr:nvSpPr>
            <xdr:cNvPr id="4314" name="Drop Down 218" hidden="1">
              <a:extLst>
                <a:ext uri="{63B3BB69-23CF-44E3-9099-C40C66FF867C}">
                  <a14:compatExt spid="_x0000_s4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4315" name="Drop Down 219" hidden="1">
              <a:extLst>
                <a:ext uri="{63B3BB69-23CF-44E3-9099-C40C66FF867C}">
                  <a14:compatExt spid="_x0000_s4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47</xdr:row>
          <xdr:rowOff>0</xdr:rowOff>
        </xdr:from>
        <xdr:to>
          <xdr:col>5</xdr:col>
          <xdr:colOff>0</xdr:colOff>
          <xdr:row>48</xdr:row>
          <xdr:rowOff>0</xdr:rowOff>
        </xdr:to>
        <xdr:sp macro="" textlink="">
          <xdr:nvSpPr>
            <xdr:cNvPr id="4316" name="Drop Down 220" hidden="1">
              <a:extLst>
                <a:ext uri="{63B3BB69-23CF-44E3-9099-C40C66FF867C}">
                  <a14:compatExt spid="_x0000_s4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0</xdr:colOff>
          <xdr:row>48</xdr:row>
          <xdr:rowOff>0</xdr:rowOff>
        </xdr:to>
        <xdr:sp macro="" textlink="">
          <xdr:nvSpPr>
            <xdr:cNvPr id="4317" name="Drop Down 221" hidden="1">
              <a:extLst>
                <a:ext uri="{63B3BB69-23CF-44E3-9099-C40C66FF867C}">
                  <a14:compatExt spid="_x0000_s4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48</xdr:row>
          <xdr:rowOff>0</xdr:rowOff>
        </xdr:to>
        <xdr:sp macro="" textlink="">
          <xdr:nvSpPr>
            <xdr:cNvPr id="4318" name="Drop Down 222" hidden="1">
              <a:extLst>
                <a:ext uri="{63B3BB69-23CF-44E3-9099-C40C66FF867C}">
                  <a14:compatExt spid="_x0000_s4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2</xdr:col>
          <xdr:colOff>0</xdr:colOff>
          <xdr:row>62</xdr:row>
          <xdr:rowOff>0</xdr:rowOff>
        </xdr:to>
        <xdr:sp macro="" textlink="">
          <xdr:nvSpPr>
            <xdr:cNvPr id="4324" name="Drop Down 228" hidden="1">
              <a:extLst>
                <a:ext uri="{63B3BB69-23CF-44E3-9099-C40C66FF867C}">
                  <a14:compatExt spid="_x0000_s4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0</xdr:rowOff>
        </xdr:from>
        <xdr:to>
          <xdr:col>4</xdr:col>
          <xdr:colOff>0</xdr:colOff>
          <xdr:row>62</xdr:row>
          <xdr:rowOff>0</xdr:rowOff>
        </xdr:to>
        <xdr:sp macro="" textlink="">
          <xdr:nvSpPr>
            <xdr:cNvPr id="4325" name="Drop Down 229" hidden="1">
              <a:extLst>
                <a:ext uri="{63B3BB69-23CF-44E3-9099-C40C66FF867C}">
                  <a14:compatExt spid="_x0000_s4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2</xdr:col>
          <xdr:colOff>0</xdr:colOff>
          <xdr:row>85</xdr:row>
          <xdr:rowOff>0</xdr:rowOff>
        </xdr:to>
        <xdr:sp macro="" textlink="">
          <xdr:nvSpPr>
            <xdr:cNvPr id="4327" name="Drop Down 231" hidden="1">
              <a:extLst>
                <a:ext uri="{63B3BB69-23CF-44E3-9099-C40C66FF867C}">
                  <a14:compatExt spid="_x0000_s4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4376" name="Drop Down 280" hidden="1">
              <a:extLst>
                <a:ext uri="{63B3BB69-23CF-44E3-9099-C40C66FF867C}">
                  <a14:compatExt spid="_x0000_s4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3</xdr:col>
          <xdr:colOff>0</xdr:colOff>
          <xdr:row>22</xdr:row>
          <xdr:rowOff>0</xdr:rowOff>
        </xdr:to>
        <xdr:sp macro="" textlink="">
          <xdr:nvSpPr>
            <xdr:cNvPr id="4378" name="Drop Down 282" hidden="1">
              <a:extLst>
                <a:ext uri="{63B3BB69-23CF-44E3-9099-C40C66FF867C}">
                  <a14:compatExt spid="_x0000_s4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4379" name="Drop Down 283" hidden="1">
              <a:extLst>
                <a:ext uri="{63B3BB69-23CF-44E3-9099-C40C66FF867C}">
                  <a14:compatExt spid="_x0000_s4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0</xdr:colOff>
          <xdr:row>22</xdr:row>
          <xdr:rowOff>0</xdr:rowOff>
        </xdr:to>
        <xdr:sp macro="" textlink="">
          <xdr:nvSpPr>
            <xdr:cNvPr id="4380" name="Drop Down 284" hidden="1">
              <a:extLst>
                <a:ext uri="{63B3BB69-23CF-44E3-9099-C40C66FF867C}">
                  <a14:compatExt spid="_x0000_s4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4381" name="Drop Down 285" hidden="1">
              <a:extLst>
                <a:ext uri="{63B3BB69-23CF-44E3-9099-C40C66FF867C}">
                  <a14:compatExt spid="_x0000_s4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4382" name="Drop Down 286" hidden="1">
              <a:extLst>
                <a:ext uri="{63B3BB69-23CF-44E3-9099-C40C66FF867C}">
                  <a14:compatExt spid="_x0000_s4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2</xdr:col>
          <xdr:colOff>0</xdr:colOff>
          <xdr:row>42</xdr:row>
          <xdr:rowOff>0</xdr:rowOff>
        </xdr:to>
        <xdr:sp macro="" textlink="">
          <xdr:nvSpPr>
            <xdr:cNvPr id="4383" name="Drop Down 287" hidden="1">
              <a:extLst>
                <a:ext uri="{63B3BB69-23CF-44E3-9099-C40C66FF867C}">
                  <a14:compatExt spid="_x0000_s4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3</xdr:col>
          <xdr:colOff>0</xdr:colOff>
          <xdr:row>42</xdr:row>
          <xdr:rowOff>0</xdr:rowOff>
        </xdr:to>
        <xdr:sp macro="" textlink="">
          <xdr:nvSpPr>
            <xdr:cNvPr id="4384" name="Drop Down 288" hidden="1">
              <a:extLst>
                <a:ext uri="{63B3BB69-23CF-44E3-9099-C40C66FF867C}">
                  <a14:compatExt spid="_x0000_s4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0</xdr:rowOff>
        </xdr:from>
        <xdr:to>
          <xdr:col>4</xdr:col>
          <xdr:colOff>0</xdr:colOff>
          <xdr:row>42</xdr:row>
          <xdr:rowOff>0</xdr:rowOff>
        </xdr:to>
        <xdr:sp macro="" textlink="">
          <xdr:nvSpPr>
            <xdr:cNvPr id="4385" name="Drop Down 289" hidden="1">
              <a:extLst>
                <a:ext uri="{63B3BB69-23CF-44E3-9099-C40C66FF867C}">
                  <a14:compatExt spid="_x0000_s4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0</xdr:rowOff>
        </xdr:from>
        <xdr:to>
          <xdr:col>5</xdr:col>
          <xdr:colOff>0</xdr:colOff>
          <xdr:row>42</xdr:row>
          <xdr:rowOff>0</xdr:rowOff>
        </xdr:to>
        <xdr:sp macro="" textlink="">
          <xdr:nvSpPr>
            <xdr:cNvPr id="4386" name="Drop Down 290" hidden="1">
              <a:extLst>
                <a:ext uri="{63B3BB69-23CF-44E3-9099-C40C66FF867C}">
                  <a14:compatExt spid="_x0000_s4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6</xdr:col>
          <xdr:colOff>0</xdr:colOff>
          <xdr:row>42</xdr:row>
          <xdr:rowOff>0</xdr:rowOff>
        </xdr:to>
        <xdr:sp macro="" textlink="">
          <xdr:nvSpPr>
            <xdr:cNvPr id="4387" name="Drop Down 291" hidden="1">
              <a:extLst>
                <a:ext uri="{63B3BB69-23CF-44E3-9099-C40C66FF867C}">
                  <a14:compatExt spid="_x0000_s4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42</xdr:row>
          <xdr:rowOff>0</xdr:rowOff>
        </xdr:to>
        <xdr:sp macro="" textlink="">
          <xdr:nvSpPr>
            <xdr:cNvPr id="4388" name="Drop Down 292" hidden="1">
              <a:extLst>
                <a:ext uri="{63B3BB69-23CF-44E3-9099-C40C66FF867C}">
                  <a14:compatExt spid="_x0000_s4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2</xdr:col>
          <xdr:colOff>0</xdr:colOff>
          <xdr:row>59</xdr:row>
          <xdr:rowOff>0</xdr:rowOff>
        </xdr:to>
        <xdr:sp macro="" textlink="">
          <xdr:nvSpPr>
            <xdr:cNvPr id="4389" name="Drop Down 293" hidden="1">
              <a:extLst>
                <a:ext uri="{63B3BB69-23CF-44E3-9099-C40C66FF867C}">
                  <a14:compatExt spid="_x0000_s4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0</xdr:rowOff>
        </xdr:from>
        <xdr:to>
          <xdr:col>4</xdr:col>
          <xdr:colOff>0</xdr:colOff>
          <xdr:row>59</xdr:row>
          <xdr:rowOff>0</xdr:rowOff>
        </xdr:to>
        <xdr:sp macro="" textlink="">
          <xdr:nvSpPr>
            <xdr:cNvPr id="4390" name="Drop Down 294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97</xdr:row>
          <xdr:rowOff>0</xdr:rowOff>
        </xdr:from>
        <xdr:to>
          <xdr:col>2</xdr:col>
          <xdr:colOff>0</xdr:colOff>
          <xdr:row>98</xdr:row>
          <xdr:rowOff>0</xdr:rowOff>
        </xdr:to>
        <xdr:sp macro="" textlink="">
          <xdr:nvSpPr>
            <xdr:cNvPr id="4391" name="Drop Down 295" hidden="1">
              <a:extLst>
                <a:ext uri="{63B3BB69-23CF-44E3-9099-C40C66FF867C}">
                  <a14:compatExt spid="_x0000_s4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97</xdr:row>
          <xdr:rowOff>0</xdr:rowOff>
        </xdr:from>
        <xdr:to>
          <xdr:col>3</xdr:col>
          <xdr:colOff>0</xdr:colOff>
          <xdr:row>98</xdr:row>
          <xdr:rowOff>0</xdr:rowOff>
        </xdr:to>
        <xdr:sp macro="" textlink="">
          <xdr:nvSpPr>
            <xdr:cNvPr id="4392" name="Drop Down 296" hidden="1">
              <a:extLst>
                <a:ext uri="{63B3BB69-23CF-44E3-9099-C40C66FF867C}">
                  <a14:compatExt spid="_x0000_s4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97</xdr:row>
          <xdr:rowOff>0</xdr:rowOff>
        </xdr:from>
        <xdr:to>
          <xdr:col>4</xdr:col>
          <xdr:colOff>0</xdr:colOff>
          <xdr:row>98</xdr:row>
          <xdr:rowOff>0</xdr:rowOff>
        </xdr:to>
        <xdr:sp macro="" textlink="">
          <xdr:nvSpPr>
            <xdr:cNvPr id="4393" name="Drop Down 297" hidden="1">
              <a:extLst>
                <a:ext uri="{63B3BB69-23CF-44E3-9099-C40C66FF867C}">
                  <a14:compatExt spid="_x0000_s4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97</xdr:row>
          <xdr:rowOff>0</xdr:rowOff>
        </xdr:from>
        <xdr:to>
          <xdr:col>5</xdr:col>
          <xdr:colOff>0</xdr:colOff>
          <xdr:row>98</xdr:row>
          <xdr:rowOff>0</xdr:rowOff>
        </xdr:to>
        <xdr:sp macro="" textlink="">
          <xdr:nvSpPr>
            <xdr:cNvPr id="4394" name="Drop Down 298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2</xdr:col>
          <xdr:colOff>0</xdr:colOff>
          <xdr:row>113</xdr:row>
          <xdr:rowOff>0</xdr:rowOff>
        </xdr:to>
        <xdr:sp macro="" textlink="">
          <xdr:nvSpPr>
            <xdr:cNvPr id="4395" name="Drop Down 299" hidden="1">
              <a:extLst>
                <a:ext uri="{63B3BB69-23CF-44E3-9099-C40C66FF867C}">
                  <a14:compatExt spid="_x0000_s4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112</xdr:row>
          <xdr:rowOff>0</xdr:rowOff>
        </xdr:from>
        <xdr:to>
          <xdr:col>3</xdr:col>
          <xdr:colOff>0</xdr:colOff>
          <xdr:row>113</xdr:row>
          <xdr:rowOff>0</xdr:rowOff>
        </xdr:to>
        <xdr:sp macro="" textlink="">
          <xdr:nvSpPr>
            <xdr:cNvPr id="4396" name="Drop Down 300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112</xdr:row>
          <xdr:rowOff>0</xdr:rowOff>
        </xdr:from>
        <xdr:to>
          <xdr:col>4</xdr:col>
          <xdr:colOff>0</xdr:colOff>
          <xdr:row>113</xdr:row>
          <xdr:rowOff>0</xdr:rowOff>
        </xdr:to>
        <xdr:sp macro="" textlink="">
          <xdr:nvSpPr>
            <xdr:cNvPr id="4397" name="Drop Down 301" hidden="1">
              <a:extLst>
                <a:ext uri="{63B3BB69-23CF-44E3-9099-C40C66FF867C}">
                  <a14:compatExt spid="_x0000_s4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112</xdr:row>
          <xdr:rowOff>0</xdr:rowOff>
        </xdr:from>
        <xdr:to>
          <xdr:col>5</xdr:col>
          <xdr:colOff>0</xdr:colOff>
          <xdr:row>113</xdr:row>
          <xdr:rowOff>0</xdr:rowOff>
        </xdr:to>
        <xdr:sp macro="" textlink="">
          <xdr:nvSpPr>
            <xdr:cNvPr id="4398" name="Drop Down 302" hidden="1">
              <a:extLst>
                <a:ext uri="{63B3BB69-23CF-44E3-9099-C40C66FF867C}">
                  <a14:compatExt spid="_x0000_s4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2</xdr:col>
          <xdr:colOff>0</xdr:colOff>
          <xdr:row>79</xdr:row>
          <xdr:rowOff>0</xdr:rowOff>
        </xdr:to>
        <xdr:sp macro="" textlink="">
          <xdr:nvSpPr>
            <xdr:cNvPr id="4399" name="Drop Down 303" hidden="1">
              <a:extLst>
                <a:ext uri="{63B3BB69-23CF-44E3-9099-C40C66FF867C}">
                  <a14:compatExt spid="_x0000_s4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78</xdr:row>
          <xdr:rowOff>0</xdr:rowOff>
        </xdr:from>
        <xdr:to>
          <xdr:col>4</xdr:col>
          <xdr:colOff>0</xdr:colOff>
          <xdr:row>79</xdr:row>
          <xdr:rowOff>0</xdr:rowOff>
        </xdr:to>
        <xdr:sp macro="" textlink="">
          <xdr:nvSpPr>
            <xdr:cNvPr id="4400" name="Drop Down 304" hidden="1">
              <a:extLst>
                <a:ext uri="{63B3BB69-23CF-44E3-9099-C40C66FF867C}">
                  <a14:compatExt spid="_x0000_s4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2</xdr:col>
          <xdr:colOff>0</xdr:colOff>
          <xdr:row>94</xdr:row>
          <xdr:rowOff>0</xdr:rowOff>
        </xdr:to>
        <xdr:sp macro="" textlink="">
          <xdr:nvSpPr>
            <xdr:cNvPr id="4407" name="Drop Down 311" hidden="1">
              <a:extLst>
                <a:ext uri="{63B3BB69-23CF-44E3-9099-C40C66FF867C}">
                  <a14:compatExt spid="_x0000_s4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93</xdr:row>
          <xdr:rowOff>0</xdr:rowOff>
        </xdr:from>
        <xdr:to>
          <xdr:col>3</xdr:col>
          <xdr:colOff>0</xdr:colOff>
          <xdr:row>94</xdr:row>
          <xdr:rowOff>0</xdr:rowOff>
        </xdr:to>
        <xdr:sp macro="" textlink="">
          <xdr:nvSpPr>
            <xdr:cNvPr id="4408" name="Drop Down 312" hidden="1">
              <a:extLst>
                <a:ext uri="{63B3BB69-23CF-44E3-9099-C40C66FF867C}">
                  <a14:compatExt spid="_x0000_s4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93</xdr:row>
          <xdr:rowOff>0</xdr:rowOff>
        </xdr:from>
        <xdr:to>
          <xdr:col>4</xdr:col>
          <xdr:colOff>0</xdr:colOff>
          <xdr:row>94</xdr:row>
          <xdr:rowOff>0</xdr:rowOff>
        </xdr:to>
        <xdr:sp macro="" textlink="">
          <xdr:nvSpPr>
            <xdr:cNvPr id="4409" name="Drop Down 313" hidden="1">
              <a:extLst>
                <a:ext uri="{63B3BB69-23CF-44E3-9099-C40C66FF867C}">
                  <a14:compatExt spid="_x0000_s4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93</xdr:row>
          <xdr:rowOff>0</xdr:rowOff>
        </xdr:from>
        <xdr:to>
          <xdr:col>5</xdr:col>
          <xdr:colOff>0</xdr:colOff>
          <xdr:row>94</xdr:row>
          <xdr:rowOff>0</xdr:rowOff>
        </xdr:to>
        <xdr:sp macro="" textlink="">
          <xdr:nvSpPr>
            <xdr:cNvPr id="4410" name="Drop Down 314" hidden="1">
              <a:extLst>
                <a:ext uri="{63B3BB69-23CF-44E3-9099-C40C66FF867C}">
                  <a14:compatExt spid="_x0000_s4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3</xdr:col>
          <xdr:colOff>0</xdr:colOff>
          <xdr:row>11</xdr:row>
          <xdr:rowOff>0</xdr:rowOff>
        </xdr:to>
        <xdr:sp macro="" textlink="">
          <xdr:nvSpPr>
            <xdr:cNvPr id="4761" name="Drop Down 665" hidden="1">
              <a:extLst>
                <a:ext uri="{63B3BB69-23CF-44E3-9099-C40C66FF867C}">
                  <a14:compatExt spid="_x0000_s4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2</xdr:col>
          <xdr:colOff>0</xdr:colOff>
          <xdr:row>11</xdr:row>
          <xdr:rowOff>0</xdr:rowOff>
        </xdr:to>
        <xdr:sp macro="" textlink="">
          <xdr:nvSpPr>
            <xdr:cNvPr id="4762" name="Drop Down 666" hidden="1">
              <a:extLst>
                <a:ext uri="{63B3BB69-23CF-44E3-9099-C40C66FF867C}">
                  <a14:compatExt spid="_x0000_s4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0</xdr:colOff>
          <xdr:row>32</xdr:row>
          <xdr:rowOff>0</xdr:rowOff>
        </xdr:to>
        <xdr:sp macro="" textlink="">
          <xdr:nvSpPr>
            <xdr:cNvPr id="4789" name="Drop Down 693" hidden="1">
              <a:extLst>
                <a:ext uri="{63B3BB69-23CF-44E3-9099-C40C66FF867C}">
                  <a14:compatExt spid="_x0000_s4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32</xdr:row>
          <xdr:rowOff>0</xdr:rowOff>
        </xdr:to>
        <xdr:sp macro="" textlink="">
          <xdr:nvSpPr>
            <xdr:cNvPr id="4790" name="Drop Down 694" hidden="1">
              <a:extLst>
                <a:ext uri="{63B3BB69-23CF-44E3-9099-C40C66FF867C}">
                  <a14:compatExt spid="_x0000_s4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4</xdr:col>
          <xdr:colOff>0</xdr:colOff>
          <xdr:row>32</xdr:row>
          <xdr:rowOff>0</xdr:rowOff>
        </xdr:to>
        <xdr:sp macro="" textlink="">
          <xdr:nvSpPr>
            <xdr:cNvPr id="4791" name="Drop Down 695" hidden="1">
              <a:extLst>
                <a:ext uri="{63B3BB69-23CF-44E3-9099-C40C66FF867C}">
                  <a14:compatExt spid="_x0000_s4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32</xdr:row>
          <xdr:rowOff>0</xdr:rowOff>
        </xdr:to>
        <xdr:sp macro="" textlink="">
          <xdr:nvSpPr>
            <xdr:cNvPr id="4792" name="Drop Down 696" hidden="1">
              <a:extLst>
                <a:ext uri="{63B3BB69-23CF-44E3-9099-C40C66FF867C}">
                  <a14:compatExt spid="_x0000_s4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4793" name="Drop Down 697" hidden="1">
              <a:extLst>
                <a:ext uri="{63B3BB69-23CF-44E3-9099-C40C66FF867C}">
                  <a14:compatExt spid="_x0000_s4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4794" name="Drop Down 698" hidden="1">
              <a:extLst>
                <a:ext uri="{63B3BB69-23CF-44E3-9099-C40C66FF867C}">
                  <a14:compatExt spid="_x0000_s4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2</xdr:col>
          <xdr:colOff>0</xdr:colOff>
          <xdr:row>69</xdr:row>
          <xdr:rowOff>0</xdr:rowOff>
        </xdr:to>
        <xdr:sp macro="" textlink="">
          <xdr:nvSpPr>
            <xdr:cNvPr id="4798" name="Drop Down 702" hidden="1">
              <a:extLst>
                <a:ext uri="{63B3BB69-23CF-44E3-9099-C40C66FF867C}">
                  <a14:compatExt spid="_x0000_s4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0</xdr:rowOff>
        </xdr:from>
        <xdr:to>
          <xdr:col>3</xdr:col>
          <xdr:colOff>0</xdr:colOff>
          <xdr:row>69</xdr:row>
          <xdr:rowOff>0</xdr:rowOff>
        </xdr:to>
        <xdr:sp macro="" textlink="">
          <xdr:nvSpPr>
            <xdr:cNvPr id="4799" name="Drop Down 703" hidden="1">
              <a:extLst>
                <a:ext uri="{63B3BB69-23CF-44E3-9099-C40C66FF867C}">
                  <a14:compatExt spid="_x0000_s4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0</xdr:rowOff>
        </xdr:from>
        <xdr:to>
          <xdr:col>4</xdr:col>
          <xdr:colOff>0</xdr:colOff>
          <xdr:row>69</xdr:row>
          <xdr:rowOff>0</xdr:rowOff>
        </xdr:to>
        <xdr:sp macro="" textlink="">
          <xdr:nvSpPr>
            <xdr:cNvPr id="4800" name="Drop Down 704" hidden="1">
              <a:extLst>
                <a:ext uri="{63B3BB69-23CF-44E3-9099-C40C66FF867C}">
                  <a14:compatExt spid="_x0000_s4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102</xdr:row>
          <xdr:rowOff>0</xdr:rowOff>
        </xdr:from>
        <xdr:to>
          <xdr:col>2</xdr:col>
          <xdr:colOff>0</xdr:colOff>
          <xdr:row>103</xdr:row>
          <xdr:rowOff>0</xdr:rowOff>
        </xdr:to>
        <xdr:sp macro="" textlink="">
          <xdr:nvSpPr>
            <xdr:cNvPr id="4802" name="Drop Down 706" hidden="1">
              <a:extLst>
                <a:ext uri="{63B3BB69-23CF-44E3-9099-C40C66FF867C}">
                  <a14:compatExt spid="_x0000_s4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102</xdr:row>
          <xdr:rowOff>0</xdr:rowOff>
        </xdr:from>
        <xdr:to>
          <xdr:col>3</xdr:col>
          <xdr:colOff>0</xdr:colOff>
          <xdr:row>103</xdr:row>
          <xdr:rowOff>0</xdr:rowOff>
        </xdr:to>
        <xdr:sp macro="" textlink="">
          <xdr:nvSpPr>
            <xdr:cNvPr id="4803" name="Drop Down 707" hidden="1">
              <a:extLst>
                <a:ext uri="{63B3BB69-23CF-44E3-9099-C40C66FF867C}">
                  <a14:compatExt spid="_x0000_s4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102</xdr:row>
          <xdr:rowOff>0</xdr:rowOff>
        </xdr:from>
        <xdr:to>
          <xdr:col>4</xdr:col>
          <xdr:colOff>0</xdr:colOff>
          <xdr:row>103</xdr:row>
          <xdr:rowOff>0</xdr:rowOff>
        </xdr:to>
        <xdr:sp macro="" textlink="">
          <xdr:nvSpPr>
            <xdr:cNvPr id="4804" name="Drop Down 708" hidden="1">
              <a:extLst>
                <a:ext uri="{63B3BB69-23CF-44E3-9099-C40C66FF867C}">
                  <a14:compatExt spid="_x0000_s4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102</xdr:row>
          <xdr:rowOff>0</xdr:rowOff>
        </xdr:from>
        <xdr:to>
          <xdr:col>5</xdr:col>
          <xdr:colOff>0</xdr:colOff>
          <xdr:row>103</xdr:row>
          <xdr:rowOff>0</xdr:rowOff>
        </xdr:to>
        <xdr:sp macro="" textlink="">
          <xdr:nvSpPr>
            <xdr:cNvPr id="4805" name="Drop Down 709" hidden="1">
              <a:extLst>
                <a:ext uri="{63B3BB69-23CF-44E3-9099-C40C66FF867C}">
                  <a14:compatExt spid="_x0000_s4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2</xdr:col>
          <xdr:colOff>0</xdr:colOff>
          <xdr:row>38</xdr:row>
          <xdr:rowOff>0</xdr:rowOff>
        </xdr:to>
        <xdr:sp macro="" textlink="">
          <xdr:nvSpPr>
            <xdr:cNvPr id="4807" name="Drop Down 711" hidden="1">
              <a:extLst>
                <a:ext uri="{63B3BB69-23CF-44E3-9099-C40C66FF867C}">
                  <a14:compatExt spid="_x0000_s4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3</xdr:col>
          <xdr:colOff>0</xdr:colOff>
          <xdr:row>38</xdr:row>
          <xdr:rowOff>0</xdr:rowOff>
        </xdr:to>
        <xdr:sp macro="" textlink="">
          <xdr:nvSpPr>
            <xdr:cNvPr id="4808" name="Drop Down 712" hidden="1">
              <a:extLst>
                <a:ext uri="{63B3BB69-23CF-44E3-9099-C40C66FF867C}">
                  <a14:compatExt spid="_x0000_s4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4</xdr:col>
          <xdr:colOff>0</xdr:colOff>
          <xdr:row>38</xdr:row>
          <xdr:rowOff>0</xdr:rowOff>
        </xdr:to>
        <xdr:sp macro="" textlink="">
          <xdr:nvSpPr>
            <xdr:cNvPr id="4809" name="Drop Down 713" hidden="1">
              <a:extLst>
                <a:ext uri="{63B3BB69-23CF-44E3-9099-C40C66FF867C}">
                  <a14:compatExt spid="_x0000_s4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5</xdr:col>
          <xdr:colOff>0</xdr:colOff>
          <xdr:row>38</xdr:row>
          <xdr:rowOff>0</xdr:rowOff>
        </xdr:to>
        <xdr:sp macro="" textlink="">
          <xdr:nvSpPr>
            <xdr:cNvPr id="4810" name="Drop Down 714" hidden="1">
              <a:extLst>
                <a:ext uri="{63B3BB69-23CF-44E3-9099-C40C66FF867C}">
                  <a14:compatExt spid="_x0000_s4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4811" name="Drop Down 715" hidden="1">
              <a:extLst>
                <a:ext uri="{63B3BB69-23CF-44E3-9099-C40C66FF867C}">
                  <a14:compatExt spid="_x0000_s4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38</xdr:row>
          <xdr:rowOff>0</xdr:rowOff>
        </xdr:to>
        <xdr:sp macro="" textlink="">
          <xdr:nvSpPr>
            <xdr:cNvPr id="4812" name="Drop Down 716" hidden="1">
              <a:extLst>
                <a:ext uri="{63B3BB69-23CF-44E3-9099-C40C66FF867C}">
                  <a14:compatExt spid="_x0000_s4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2</xdr:col>
          <xdr:colOff>0</xdr:colOff>
          <xdr:row>75</xdr:row>
          <xdr:rowOff>0</xdr:rowOff>
        </xdr:to>
        <xdr:sp macro="" textlink="">
          <xdr:nvSpPr>
            <xdr:cNvPr id="4817" name="Drop Down 721" hidden="1">
              <a:extLst>
                <a:ext uri="{63B3BB69-23CF-44E3-9099-C40C66FF867C}">
                  <a14:compatExt spid="_x0000_s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74</xdr:row>
          <xdr:rowOff>0</xdr:rowOff>
        </xdr:from>
        <xdr:to>
          <xdr:col>3</xdr:col>
          <xdr:colOff>0</xdr:colOff>
          <xdr:row>75</xdr:row>
          <xdr:rowOff>0</xdr:rowOff>
        </xdr:to>
        <xdr:sp macro="" textlink="">
          <xdr:nvSpPr>
            <xdr:cNvPr id="4818" name="Drop Down 722" hidden="1">
              <a:extLst>
                <a:ext uri="{63B3BB69-23CF-44E3-9099-C40C66FF867C}">
                  <a14:compatExt spid="_x0000_s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0</xdr:rowOff>
        </xdr:from>
        <xdr:to>
          <xdr:col>4</xdr:col>
          <xdr:colOff>0</xdr:colOff>
          <xdr:row>75</xdr:row>
          <xdr:rowOff>0</xdr:rowOff>
        </xdr:to>
        <xdr:sp macro="" textlink="">
          <xdr:nvSpPr>
            <xdr:cNvPr id="4819" name="Drop Down 723" hidden="1">
              <a:extLst>
                <a:ext uri="{63B3BB69-23CF-44E3-9099-C40C66FF867C}">
                  <a14:compatExt spid="_x0000_s4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108</xdr:row>
          <xdr:rowOff>0</xdr:rowOff>
        </xdr:from>
        <xdr:to>
          <xdr:col>2</xdr:col>
          <xdr:colOff>0</xdr:colOff>
          <xdr:row>109</xdr:row>
          <xdr:rowOff>0</xdr:rowOff>
        </xdr:to>
        <xdr:sp macro="" textlink="">
          <xdr:nvSpPr>
            <xdr:cNvPr id="4821" name="Drop Down 725" hidden="1">
              <a:extLst>
                <a:ext uri="{63B3BB69-23CF-44E3-9099-C40C66FF867C}">
                  <a14:compatExt spid="_x0000_s4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108</xdr:row>
          <xdr:rowOff>0</xdr:rowOff>
        </xdr:from>
        <xdr:to>
          <xdr:col>3</xdr:col>
          <xdr:colOff>0</xdr:colOff>
          <xdr:row>109</xdr:row>
          <xdr:rowOff>0</xdr:rowOff>
        </xdr:to>
        <xdr:sp macro="" textlink="">
          <xdr:nvSpPr>
            <xdr:cNvPr id="4822" name="Drop Down 726" hidden="1">
              <a:extLst>
                <a:ext uri="{63B3BB69-23CF-44E3-9099-C40C66FF867C}">
                  <a14:compatExt spid="_x0000_s4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108</xdr:row>
          <xdr:rowOff>0</xdr:rowOff>
        </xdr:from>
        <xdr:to>
          <xdr:col>4</xdr:col>
          <xdr:colOff>0</xdr:colOff>
          <xdr:row>109</xdr:row>
          <xdr:rowOff>0</xdr:rowOff>
        </xdr:to>
        <xdr:sp macro="" textlink="">
          <xdr:nvSpPr>
            <xdr:cNvPr id="4823" name="Drop Down 727" hidden="1">
              <a:extLst>
                <a:ext uri="{63B3BB69-23CF-44E3-9099-C40C66FF867C}">
                  <a14:compatExt spid="_x0000_s4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108</xdr:row>
          <xdr:rowOff>0</xdr:rowOff>
        </xdr:from>
        <xdr:to>
          <xdr:col>5</xdr:col>
          <xdr:colOff>0</xdr:colOff>
          <xdr:row>109</xdr:row>
          <xdr:rowOff>0</xdr:rowOff>
        </xdr:to>
        <xdr:sp macro="" textlink="">
          <xdr:nvSpPr>
            <xdr:cNvPr id="4824" name="Drop Down 728" hidden="1">
              <a:extLst>
                <a:ext uri="{63B3BB69-23CF-44E3-9099-C40C66FF867C}">
                  <a14:compatExt spid="_x0000_s4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0</xdr:rowOff>
        </xdr:from>
        <xdr:to>
          <xdr:col>2</xdr:col>
          <xdr:colOff>0</xdr:colOff>
          <xdr:row>45</xdr:row>
          <xdr:rowOff>0</xdr:rowOff>
        </xdr:to>
        <xdr:sp macro="" textlink="">
          <xdr:nvSpPr>
            <xdr:cNvPr id="4826" name="Drop Down 730" hidden="1">
              <a:extLst>
                <a:ext uri="{63B3BB69-23CF-44E3-9099-C40C66FF867C}">
                  <a14:compatExt spid="_x0000_s4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4827" name="Drop Down 731" hidden="1">
              <a:extLst>
                <a:ext uri="{63B3BB69-23CF-44E3-9099-C40C66FF867C}">
                  <a14:compatExt spid="_x0000_s4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4828" name="Drop Down 732" hidden="1">
              <a:extLst>
                <a:ext uri="{63B3BB69-23CF-44E3-9099-C40C66FF867C}">
                  <a14:compatExt spid="_x0000_s4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44</xdr:row>
          <xdr:rowOff>0</xdr:rowOff>
        </xdr:from>
        <xdr:to>
          <xdr:col>5</xdr:col>
          <xdr:colOff>0</xdr:colOff>
          <xdr:row>45</xdr:row>
          <xdr:rowOff>0</xdr:rowOff>
        </xdr:to>
        <xdr:sp macro="" textlink="">
          <xdr:nvSpPr>
            <xdr:cNvPr id="4829" name="Drop Down 733" hidden="1">
              <a:extLst>
                <a:ext uri="{63B3BB69-23CF-44E3-9099-C40C66FF867C}">
                  <a14:compatExt spid="_x0000_s4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0</xdr:rowOff>
        </xdr:from>
        <xdr:to>
          <xdr:col>6</xdr:col>
          <xdr:colOff>0</xdr:colOff>
          <xdr:row>45</xdr:row>
          <xdr:rowOff>0</xdr:rowOff>
        </xdr:to>
        <xdr:sp macro="" textlink="">
          <xdr:nvSpPr>
            <xdr:cNvPr id="4830" name="Drop Down 734" hidden="1">
              <a:extLst>
                <a:ext uri="{63B3BB69-23CF-44E3-9099-C40C66FF867C}">
                  <a14:compatExt spid="_x0000_s4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4831" name="Drop Down 735" hidden="1">
              <a:extLst>
                <a:ext uri="{63B3BB69-23CF-44E3-9099-C40C66FF867C}">
                  <a14:compatExt spid="_x0000_s4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2</xdr:col>
          <xdr:colOff>0</xdr:colOff>
          <xdr:row>82</xdr:row>
          <xdr:rowOff>0</xdr:rowOff>
        </xdr:to>
        <xdr:sp macro="" textlink="">
          <xdr:nvSpPr>
            <xdr:cNvPr id="4833" name="Drop Down 737" hidden="1">
              <a:extLst>
                <a:ext uri="{63B3BB69-23CF-44E3-9099-C40C66FF867C}">
                  <a14:compatExt spid="_x0000_s4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0</xdr:rowOff>
        </xdr:from>
        <xdr:to>
          <xdr:col>4</xdr:col>
          <xdr:colOff>0</xdr:colOff>
          <xdr:row>82</xdr:row>
          <xdr:rowOff>0</xdr:rowOff>
        </xdr:to>
        <xdr:sp macro="" textlink="">
          <xdr:nvSpPr>
            <xdr:cNvPr id="4834" name="Drop Down 738" hidden="1">
              <a:extLst>
                <a:ext uri="{63B3BB69-23CF-44E3-9099-C40C66FF867C}">
                  <a14:compatExt spid="_x0000_s4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2</xdr:col>
          <xdr:colOff>0</xdr:colOff>
          <xdr:row>115</xdr:row>
          <xdr:rowOff>0</xdr:rowOff>
        </xdr:to>
        <xdr:sp macro="" textlink="">
          <xdr:nvSpPr>
            <xdr:cNvPr id="4836" name="Drop Down 740" hidden="1">
              <a:extLst>
                <a:ext uri="{63B3BB69-23CF-44E3-9099-C40C66FF867C}">
                  <a14:compatExt spid="_x0000_s4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114</xdr:row>
          <xdr:rowOff>0</xdr:rowOff>
        </xdr:from>
        <xdr:to>
          <xdr:col>3</xdr:col>
          <xdr:colOff>0</xdr:colOff>
          <xdr:row>115</xdr:row>
          <xdr:rowOff>0</xdr:rowOff>
        </xdr:to>
        <xdr:sp macro="" textlink="">
          <xdr:nvSpPr>
            <xdr:cNvPr id="4837" name="Drop Down 741" hidden="1">
              <a:extLst>
                <a:ext uri="{63B3BB69-23CF-44E3-9099-C40C66FF867C}">
                  <a14:compatExt spid="_x0000_s4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114</xdr:row>
          <xdr:rowOff>0</xdr:rowOff>
        </xdr:from>
        <xdr:to>
          <xdr:col>4</xdr:col>
          <xdr:colOff>0</xdr:colOff>
          <xdr:row>115</xdr:row>
          <xdr:rowOff>0</xdr:rowOff>
        </xdr:to>
        <xdr:sp macro="" textlink="">
          <xdr:nvSpPr>
            <xdr:cNvPr id="4838" name="Drop Down 742" hidden="1">
              <a:extLst>
                <a:ext uri="{63B3BB69-23CF-44E3-9099-C40C66FF867C}">
                  <a14:compatExt spid="_x0000_s4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114</xdr:row>
          <xdr:rowOff>0</xdr:rowOff>
        </xdr:from>
        <xdr:to>
          <xdr:col>5</xdr:col>
          <xdr:colOff>0</xdr:colOff>
          <xdr:row>115</xdr:row>
          <xdr:rowOff>0</xdr:rowOff>
        </xdr:to>
        <xdr:sp macro="" textlink="">
          <xdr:nvSpPr>
            <xdr:cNvPr id="4839" name="Drop Down 743" hidden="1">
              <a:extLst>
                <a:ext uri="{63B3BB69-23CF-44E3-9099-C40C66FF867C}">
                  <a14:compatExt spid="_x0000_s4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1419225</xdr:colOff>
          <xdr:row>3</xdr:row>
          <xdr:rowOff>0</xdr:rowOff>
        </xdr:from>
        <xdr:to>
          <xdr:col>6</xdr:col>
          <xdr:colOff>1476375</xdr:colOff>
          <xdr:row>4</xdr:row>
          <xdr:rowOff>0</xdr:rowOff>
        </xdr:to>
        <xdr:sp macro="" textlink="">
          <xdr:nvSpPr>
            <xdr:cNvPr id="4856" name="Drop Down 760" hidden="1">
              <a:extLst>
                <a:ext uri="{63B3BB69-23CF-44E3-9099-C40C66FF867C}">
                  <a14:compatExt spid="_x0000_s4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333375</xdr:colOff>
      <xdr:row>0</xdr:row>
      <xdr:rowOff>83820</xdr:rowOff>
    </xdr:from>
    <xdr:to>
      <xdr:col>6</xdr:col>
      <xdr:colOff>1104900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83820"/>
          <a:ext cx="771525" cy="54483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169</xdr:row>
          <xdr:rowOff>0</xdr:rowOff>
        </xdr:from>
        <xdr:to>
          <xdr:col>6</xdr:col>
          <xdr:colOff>0</xdr:colOff>
          <xdr:row>170</xdr:row>
          <xdr:rowOff>0</xdr:rowOff>
        </xdr:to>
        <xdr:sp macro="" textlink="">
          <xdr:nvSpPr>
            <xdr:cNvPr id="4859" name="Drop Down 763" hidden="1">
              <a:extLst>
                <a:ext uri="{63B3BB69-23CF-44E3-9099-C40C66FF867C}">
                  <a14:compatExt spid="_x0000_s4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171</xdr:row>
          <xdr:rowOff>0</xdr:rowOff>
        </xdr:from>
        <xdr:to>
          <xdr:col>6</xdr:col>
          <xdr:colOff>0</xdr:colOff>
          <xdr:row>172</xdr:row>
          <xdr:rowOff>0</xdr:rowOff>
        </xdr:to>
        <xdr:sp macro="" textlink="">
          <xdr:nvSpPr>
            <xdr:cNvPr id="4860" name="Drop Down 764" hidden="1">
              <a:extLst>
                <a:ext uri="{63B3BB69-23CF-44E3-9099-C40C66FF867C}">
                  <a14:compatExt spid="_x0000_s4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182</xdr:row>
          <xdr:rowOff>0</xdr:rowOff>
        </xdr:from>
        <xdr:to>
          <xdr:col>6</xdr:col>
          <xdr:colOff>0</xdr:colOff>
          <xdr:row>183</xdr:row>
          <xdr:rowOff>0</xdr:rowOff>
        </xdr:to>
        <xdr:sp macro="" textlink="">
          <xdr:nvSpPr>
            <xdr:cNvPr id="4861" name="Drop Down 765" hidden="1">
              <a:extLst>
                <a:ext uri="{63B3BB69-23CF-44E3-9099-C40C66FF867C}">
                  <a14:compatExt spid="_x0000_s4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170</xdr:row>
          <xdr:rowOff>0</xdr:rowOff>
        </xdr:from>
        <xdr:to>
          <xdr:col>6</xdr:col>
          <xdr:colOff>0</xdr:colOff>
          <xdr:row>171</xdr:row>
          <xdr:rowOff>0</xdr:rowOff>
        </xdr:to>
        <xdr:sp macro="" textlink="">
          <xdr:nvSpPr>
            <xdr:cNvPr id="4863" name="Drop Down 767" hidden="1">
              <a:extLst>
                <a:ext uri="{63B3BB69-23CF-44E3-9099-C40C66FF867C}">
                  <a14:compatExt spid="_x0000_s4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183</xdr:row>
          <xdr:rowOff>0</xdr:rowOff>
        </xdr:from>
        <xdr:to>
          <xdr:col>6</xdr:col>
          <xdr:colOff>0</xdr:colOff>
          <xdr:row>184</xdr:row>
          <xdr:rowOff>0</xdr:rowOff>
        </xdr:to>
        <xdr:sp macro="" textlink="">
          <xdr:nvSpPr>
            <xdr:cNvPr id="4864" name="Drop Down 768" hidden="1">
              <a:extLst>
                <a:ext uri="{63B3BB69-23CF-44E3-9099-C40C66FF867C}">
                  <a14:compatExt spid="_x0000_s4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173</xdr:row>
          <xdr:rowOff>0</xdr:rowOff>
        </xdr:from>
        <xdr:to>
          <xdr:col>6</xdr:col>
          <xdr:colOff>0</xdr:colOff>
          <xdr:row>174</xdr:row>
          <xdr:rowOff>0</xdr:rowOff>
        </xdr:to>
        <xdr:sp macro="" textlink="">
          <xdr:nvSpPr>
            <xdr:cNvPr id="4865" name="Drop Down 769" hidden="1">
              <a:extLst>
                <a:ext uri="{63B3BB69-23CF-44E3-9099-C40C66FF867C}">
                  <a14:compatExt spid="_x0000_s4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186</xdr:row>
          <xdr:rowOff>0</xdr:rowOff>
        </xdr:from>
        <xdr:to>
          <xdr:col>6</xdr:col>
          <xdr:colOff>0</xdr:colOff>
          <xdr:row>187</xdr:row>
          <xdr:rowOff>0</xdr:rowOff>
        </xdr:to>
        <xdr:sp macro="" textlink="">
          <xdr:nvSpPr>
            <xdr:cNvPr id="4866" name="Drop Down 770" hidden="1">
              <a:extLst>
                <a:ext uri="{63B3BB69-23CF-44E3-9099-C40C66FF867C}">
                  <a14:compatExt spid="_x0000_s4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184</xdr:row>
          <xdr:rowOff>0</xdr:rowOff>
        </xdr:from>
        <xdr:to>
          <xdr:col>6</xdr:col>
          <xdr:colOff>0</xdr:colOff>
          <xdr:row>185</xdr:row>
          <xdr:rowOff>0</xdr:rowOff>
        </xdr:to>
        <xdr:sp macro="" textlink="">
          <xdr:nvSpPr>
            <xdr:cNvPr id="4867" name="Drop Down 771" hidden="1">
              <a:extLst>
                <a:ext uri="{63B3BB69-23CF-44E3-9099-C40C66FF867C}">
                  <a14:compatExt spid="_x0000_s4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181</xdr:row>
          <xdr:rowOff>0</xdr:rowOff>
        </xdr:from>
        <xdr:to>
          <xdr:col>6</xdr:col>
          <xdr:colOff>0</xdr:colOff>
          <xdr:row>182</xdr:row>
          <xdr:rowOff>0</xdr:rowOff>
        </xdr:to>
        <xdr:sp macro="" textlink="">
          <xdr:nvSpPr>
            <xdr:cNvPr id="4868" name="Drop Down 772" hidden="1">
              <a:extLst>
                <a:ext uri="{63B3BB69-23CF-44E3-9099-C40C66FF867C}">
                  <a14:compatExt spid="_x0000_s4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12</xdr:col>
      <xdr:colOff>762000</xdr:colOff>
      <xdr:row>53</xdr:row>
      <xdr:rowOff>0</xdr:rowOff>
    </xdr:to>
    <xdr:graphicFrame macro="">
      <xdr:nvGraphicFramePr>
        <xdr:cNvPr id="15259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12</xdr:col>
      <xdr:colOff>762000</xdr:colOff>
      <xdr:row>79</xdr:row>
      <xdr:rowOff>0</xdr:rowOff>
    </xdr:to>
    <xdr:graphicFrame macro="">
      <xdr:nvGraphicFramePr>
        <xdr:cNvPr id="15259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11906</xdr:colOff>
      <xdr:row>26</xdr:row>
      <xdr:rowOff>0</xdr:rowOff>
    </xdr:from>
    <xdr:to>
      <xdr:col>22</xdr:col>
      <xdr:colOff>0</xdr:colOff>
      <xdr:row>53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53</xdr:row>
      <xdr:rowOff>0</xdr:rowOff>
    </xdr:from>
    <xdr:to>
      <xdr:col>22</xdr:col>
      <xdr:colOff>0</xdr:colOff>
      <xdr:row>79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13</xdr:col>
      <xdr:colOff>0</xdr:colOff>
      <xdr:row>52</xdr:row>
      <xdr:rowOff>0</xdr:rowOff>
    </xdr:to>
    <xdr:graphicFrame macro="">
      <xdr:nvGraphicFramePr>
        <xdr:cNvPr id="15566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13</xdr:col>
      <xdr:colOff>0</xdr:colOff>
      <xdr:row>79</xdr:row>
      <xdr:rowOff>0</xdr:rowOff>
    </xdr:to>
    <xdr:graphicFrame macro="">
      <xdr:nvGraphicFramePr>
        <xdr:cNvPr id="15566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26</xdr:row>
      <xdr:rowOff>-1</xdr:rowOff>
    </xdr:from>
    <xdr:to>
      <xdr:col>22</xdr:col>
      <xdr:colOff>0</xdr:colOff>
      <xdr:row>52</xdr:row>
      <xdr:rowOff>-1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52</xdr:row>
      <xdr:rowOff>0</xdr:rowOff>
    </xdr:from>
    <xdr:to>
      <xdr:col>22</xdr:col>
      <xdr:colOff>0</xdr:colOff>
      <xdr:row>79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2897" cy="606972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2897" cy="606972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161925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486150" y="0"/>
          <a:ext cx="666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161925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3486150" y="0"/>
          <a:ext cx="85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161925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3486150" y="0"/>
          <a:ext cx="666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161925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3486150" y="0"/>
          <a:ext cx="85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10" name="Text Box 21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11" name="Text Box 22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161925</xdr:rowOff>
    </xdr:to>
    <xdr:sp macro="" textlink="">
      <xdr:nvSpPr>
        <xdr:cNvPr id="12" name="Text Box 26"/>
        <xdr:cNvSpPr txBox="1">
          <a:spLocks noChangeArrowheads="1"/>
        </xdr:cNvSpPr>
      </xdr:nvSpPr>
      <xdr:spPr bwMode="auto">
        <a:xfrm>
          <a:off x="3486150" y="0"/>
          <a:ext cx="666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13" name="Text Box 27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161925</xdr:rowOff>
    </xdr:to>
    <xdr:sp macro="" textlink="">
      <xdr:nvSpPr>
        <xdr:cNvPr id="14" name="Text Box 28"/>
        <xdr:cNvSpPr txBox="1">
          <a:spLocks noChangeArrowheads="1"/>
        </xdr:cNvSpPr>
      </xdr:nvSpPr>
      <xdr:spPr bwMode="auto">
        <a:xfrm>
          <a:off x="3486150" y="0"/>
          <a:ext cx="85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15" name="Text Box 29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161925</xdr:rowOff>
    </xdr:to>
    <xdr:sp macro="" textlink="">
      <xdr:nvSpPr>
        <xdr:cNvPr id="17" name="Text Box 35"/>
        <xdr:cNvSpPr txBox="1">
          <a:spLocks noChangeArrowheads="1"/>
        </xdr:cNvSpPr>
      </xdr:nvSpPr>
      <xdr:spPr bwMode="auto">
        <a:xfrm>
          <a:off x="3486150" y="0"/>
          <a:ext cx="666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18" name="Text Box 36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161925</xdr:rowOff>
    </xdr:to>
    <xdr:sp macro="" textlink="">
      <xdr:nvSpPr>
        <xdr:cNvPr id="19" name="Text Box 37"/>
        <xdr:cNvSpPr txBox="1">
          <a:spLocks noChangeArrowheads="1"/>
        </xdr:cNvSpPr>
      </xdr:nvSpPr>
      <xdr:spPr bwMode="auto">
        <a:xfrm>
          <a:off x="3486150" y="0"/>
          <a:ext cx="85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20" name="Text Box 38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21" name="Text Box 39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219075</xdr:rowOff>
    </xdr:to>
    <xdr:sp macro="" textlink="">
      <xdr:nvSpPr>
        <xdr:cNvPr id="22" name="Text Box 42"/>
        <xdr:cNvSpPr txBox="1">
          <a:spLocks noChangeArrowheads="1"/>
        </xdr:cNvSpPr>
      </xdr:nvSpPr>
      <xdr:spPr bwMode="auto">
        <a:xfrm>
          <a:off x="4533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223557</xdr:rowOff>
    </xdr:to>
    <xdr:sp macro="" textlink="">
      <xdr:nvSpPr>
        <xdr:cNvPr id="23" name="Text Box 43"/>
        <xdr:cNvSpPr txBox="1">
          <a:spLocks noChangeArrowheads="1"/>
        </xdr:cNvSpPr>
      </xdr:nvSpPr>
      <xdr:spPr bwMode="auto">
        <a:xfrm>
          <a:off x="4533900" y="0"/>
          <a:ext cx="76200" cy="214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224117</xdr:rowOff>
    </xdr:to>
    <xdr:sp macro="" textlink="">
      <xdr:nvSpPr>
        <xdr:cNvPr id="24" name="Text Box 44"/>
        <xdr:cNvSpPr txBox="1">
          <a:spLocks noChangeArrowheads="1"/>
        </xdr:cNvSpPr>
      </xdr:nvSpPr>
      <xdr:spPr bwMode="auto">
        <a:xfrm>
          <a:off x="4533900" y="0"/>
          <a:ext cx="76200" cy="21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233642</xdr:rowOff>
    </xdr:to>
    <xdr:sp macro="" textlink="">
      <xdr:nvSpPr>
        <xdr:cNvPr id="25" name="Text Box 45"/>
        <xdr:cNvSpPr txBox="1">
          <a:spLocks noChangeArrowheads="1"/>
        </xdr:cNvSpPr>
      </xdr:nvSpPr>
      <xdr:spPr bwMode="auto">
        <a:xfrm>
          <a:off x="4533900" y="0"/>
          <a:ext cx="76200" cy="22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233642</xdr:rowOff>
    </xdr:to>
    <xdr:sp macro="" textlink="">
      <xdr:nvSpPr>
        <xdr:cNvPr id="26" name="Text Box 46"/>
        <xdr:cNvSpPr txBox="1">
          <a:spLocks noChangeArrowheads="1"/>
        </xdr:cNvSpPr>
      </xdr:nvSpPr>
      <xdr:spPr bwMode="auto">
        <a:xfrm>
          <a:off x="4533900" y="0"/>
          <a:ext cx="76200" cy="22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38100</xdr:rowOff>
    </xdr:to>
    <xdr:sp macro="" textlink="">
      <xdr:nvSpPr>
        <xdr:cNvPr id="27" name="Text Box 47"/>
        <xdr:cNvSpPr txBox="1">
          <a:spLocks noChangeArrowheads="1"/>
        </xdr:cNvSpPr>
      </xdr:nvSpPr>
      <xdr:spPr bwMode="auto">
        <a:xfrm>
          <a:off x="4533900" y="91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53788</xdr:rowOff>
    </xdr:to>
    <xdr:sp macro="" textlink="">
      <xdr:nvSpPr>
        <xdr:cNvPr id="28" name="Text Box 48"/>
        <xdr:cNvSpPr txBox="1">
          <a:spLocks noChangeArrowheads="1"/>
        </xdr:cNvSpPr>
      </xdr:nvSpPr>
      <xdr:spPr bwMode="auto">
        <a:xfrm>
          <a:off x="4533900" y="914400"/>
          <a:ext cx="76200" cy="206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54348</xdr:rowOff>
    </xdr:to>
    <xdr:sp macro="" textlink="">
      <xdr:nvSpPr>
        <xdr:cNvPr id="29" name="Text Box 49"/>
        <xdr:cNvSpPr txBox="1">
          <a:spLocks noChangeArrowheads="1"/>
        </xdr:cNvSpPr>
      </xdr:nvSpPr>
      <xdr:spPr bwMode="auto">
        <a:xfrm>
          <a:off x="4533900" y="914400"/>
          <a:ext cx="76200" cy="206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63873</xdr:rowOff>
    </xdr:to>
    <xdr:sp macro="" textlink="">
      <xdr:nvSpPr>
        <xdr:cNvPr id="30" name="Text Box 50"/>
        <xdr:cNvSpPr txBox="1">
          <a:spLocks noChangeArrowheads="1"/>
        </xdr:cNvSpPr>
      </xdr:nvSpPr>
      <xdr:spPr bwMode="auto">
        <a:xfrm>
          <a:off x="4533900" y="914400"/>
          <a:ext cx="76200" cy="21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63873</xdr:rowOff>
    </xdr:to>
    <xdr:sp macro="" textlink="">
      <xdr:nvSpPr>
        <xdr:cNvPr id="31" name="Text Box 51"/>
        <xdr:cNvSpPr txBox="1">
          <a:spLocks noChangeArrowheads="1"/>
        </xdr:cNvSpPr>
      </xdr:nvSpPr>
      <xdr:spPr bwMode="auto">
        <a:xfrm>
          <a:off x="4533900" y="914400"/>
          <a:ext cx="76200" cy="216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38099</xdr:rowOff>
    </xdr:to>
    <xdr:sp macro="" textlink="">
      <xdr:nvSpPr>
        <xdr:cNvPr id="32" name="Text Box 52"/>
        <xdr:cNvSpPr txBox="1">
          <a:spLocks noChangeArrowheads="1"/>
        </xdr:cNvSpPr>
      </xdr:nvSpPr>
      <xdr:spPr bwMode="auto">
        <a:xfrm>
          <a:off x="4533900" y="1371600"/>
          <a:ext cx="7620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42583</xdr:rowOff>
    </xdr:to>
    <xdr:sp macro="" textlink="">
      <xdr:nvSpPr>
        <xdr:cNvPr id="33" name="Text Box 53"/>
        <xdr:cNvSpPr txBox="1">
          <a:spLocks noChangeArrowheads="1"/>
        </xdr:cNvSpPr>
      </xdr:nvSpPr>
      <xdr:spPr bwMode="auto">
        <a:xfrm>
          <a:off x="4533900" y="1371600"/>
          <a:ext cx="76200" cy="194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62193</xdr:rowOff>
    </xdr:to>
    <xdr:sp macro="" textlink="">
      <xdr:nvSpPr>
        <xdr:cNvPr id="34" name="Text Box 54"/>
        <xdr:cNvSpPr txBox="1">
          <a:spLocks noChangeArrowheads="1"/>
        </xdr:cNvSpPr>
      </xdr:nvSpPr>
      <xdr:spPr bwMode="auto">
        <a:xfrm>
          <a:off x="4533900" y="1371600"/>
          <a:ext cx="76200" cy="21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71718</xdr:rowOff>
    </xdr:to>
    <xdr:sp macro="" textlink="">
      <xdr:nvSpPr>
        <xdr:cNvPr id="35" name="Text Box 55"/>
        <xdr:cNvSpPr txBox="1">
          <a:spLocks noChangeArrowheads="1"/>
        </xdr:cNvSpPr>
      </xdr:nvSpPr>
      <xdr:spPr bwMode="auto">
        <a:xfrm>
          <a:off x="4533900" y="1371600"/>
          <a:ext cx="7620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71718</xdr:rowOff>
    </xdr:to>
    <xdr:sp macro="" textlink="">
      <xdr:nvSpPr>
        <xdr:cNvPr id="36" name="Text Box 56"/>
        <xdr:cNvSpPr txBox="1">
          <a:spLocks noChangeArrowheads="1"/>
        </xdr:cNvSpPr>
      </xdr:nvSpPr>
      <xdr:spPr bwMode="auto">
        <a:xfrm>
          <a:off x="4533900" y="1371600"/>
          <a:ext cx="7620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38100</xdr:rowOff>
    </xdr:to>
    <xdr:sp macro="" textlink="">
      <xdr:nvSpPr>
        <xdr:cNvPr id="37" name="Text Box 57"/>
        <xdr:cNvSpPr txBox="1">
          <a:spLocks noChangeArrowheads="1"/>
        </xdr:cNvSpPr>
      </xdr:nvSpPr>
      <xdr:spPr bwMode="auto">
        <a:xfrm>
          <a:off x="4533900" y="1828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15</xdr:row>
      <xdr:rowOff>17370</xdr:rowOff>
    </xdr:to>
    <xdr:sp macro="" textlink="">
      <xdr:nvSpPr>
        <xdr:cNvPr id="38" name="Text Box 58"/>
        <xdr:cNvSpPr txBox="1">
          <a:spLocks noChangeArrowheads="1"/>
        </xdr:cNvSpPr>
      </xdr:nvSpPr>
      <xdr:spPr bwMode="auto">
        <a:xfrm>
          <a:off x="4533900" y="1828800"/>
          <a:ext cx="76200" cy="322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15</xdr:row>
      <xdr:rowOff>15128</xdr:rowOff>
    </xdr:to>
    <xdr:sp macro="" textlink="">
      <xdr:nvSpPr>
        <xdr:cNvPr id="39" name="Text Box 59"/>
        <xdr:cNvSpPr txBox="1">
          <a:spLocks noChangeArrowheads="1"/>
        </xdr:cNvSpPr>
      </xdr:nvSpPr>
      <xdr:spPr bwMode="auto">
        <a:xfrm>
          <a:off x="4533900" y="1828800"/>
          <a:ext cx="76200" cy="319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67235</xdr:rowOff>
    </xdr:to>
    <xdr:sp macro="" textlink="">
      <xdr:nvSpPr>
        <xdr:cNvPr id="40" name="Text Box 60"/>
        <xdr:cNvSpPr txBox="1">
          <a:spLocks noChangeArrowheads="1"/>
        </xdr:cNvSpPr>
      </xdr:nvSpPr>
      <xdr:spPr bwMode="auto">
        <a:xfrm>
          <a:off x="4533900" y="1828800"/>
          <a:ext cx="76200" cy="21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67235</xdr:rowOff>
    </xdr:to>
    <xdr:sp macro="" textlink="">
      <xdr:nvSpPr>
        <xdr:cNvPr id="41" name="Text Box 61"/>
        <xdr:cNvSpPr txBox="1">
          <a:spLocks noChangeArrowheads="1"/>
        </xdr:cNvSpPr>
      </xdr:nvSpPr>
      <xdr:spPr bwMode="auto">
        <a:xfrm>
          <a:off x="4533900" y="1828800"/>
          <a:ext cx="76200" cy="21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0</xdr:row>
      <xdr:rowOff>0</xdr:rowOff>
    </xdr:from>
    <xdr:to>
      <xdr:col>6</xdr:col>
      <xdr:colOff>142875</xdr:colOff>
      <xdr:row>0</xdr:row>
      <xdr:rowOff>216273</xdr:rowOff>
    </xdr:to>
    <xdr:sp macro="" textlink="">
      <xdr:nvSpPr>
        <xdr:cNvPr id="42" name="Text Box 80"/>
        <xdr:cNvSpPr txBox="1">
          <a:spLocks noChangeArrowheads="1"/>
        </xdr:cNvSpPr>
      </xdr:nvSpPr>
      <xdr:spPr bwMode="auto">
        <a:xfrm>
          <a:off x="6124575" y="0"/>
          <a:ext cx="76200" cy="206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0</xdr:row>
      <xdr:rowOff>0</xdr:rowOff>
    </xdr:from>
    <xdr:to>
      <xdr:col>6</xdr:col>
      <xdr:colOff>142875</xdr:colOff>
      <xdr:row>0</xdr:row>
      <xdr:rowOff>227479</xdr:rowOff>
    </xdr:to>
    <xdr:sp macro="" textlink="">
      <xdr:nvSpPr>
        <xdr:cNvPr id="43" name="Text Box 81"/>
        <xdr:cNvSpPr txBox="1">
          <a:spLocks noChangeArrowheads="1"/>
        </xdr:cNvSpPr>
      </xdr:nvSpPr>
      <xdr:spPr bwMode="auto">
        <a:xfrm>
          <a:off x="6124575" y="0"/>
          <a:ext cx="76200" cy="217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0</xdr:row>
      <xdr:rowOff>0</xdr:rowOff>
    </xdr:from>
    <xdr:to>
      <xdr:col>6</xdr:col>
      <xdr:colOff>142875</xdr:colOff>
      <xdr:row>0</xdr:row>
      <xdr:rowOff>227479</xdr:rowOff>
    </xdr:to>
    <xdr:sp macro="" textlink="">
      <xdr:nvSpPr>
        <xdr:cNvPr id="44" name="Text Box 82"/>
        <xdr:cNvSpPr txBox="1">
          <a:spLocks noChangeArrowheads="1"/>
        </xdr:cNvSpPr>
      </xdr:nvSpPr>
      <xdr:spPr bwMode="auto">
        <a:xfrm>
          <a:off x="6124575" y="0"/>
          <a:ext cx="76200" cy="217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235323</xdr:rowOff>
    </xdr:to>
    <xdr:sp macro="" textlink="">
      <xdr:nvSpPr>
        <xdr:cNvPr id="45" name="Text Box 85"/>
        <xdr:cNvSpPr txBox="1">
          <a:spLocks noChangeArrowheads="1"/>
        </xdr:cNvSpPr>
      </xdr:nvSpPr>
      <xdr:spPr bwMode="auto">
        <a:xfrm>
          <a:off x="3486150" y="0"/>
          <a:ext cx="95250" cy="22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216273</xdr:rowOff>
    </xdr:to>
    <xdr:sp macro="" textlink="">
      <xdr:nvSpPr>
        <xdr:cNvPr id="46" name="Text Box 86"/>
        <xdr:cNvSpPr txBox="1">
          <a:spLocks noChangeArrowheads="1"/>
        </xdr:cNvSpPr>
      </xdr:nvSpPr>
      <xdr:spPr bwMode="auto">
        <a:xfrm>
          <a:off x="3486150" y="0"/>
          <a:ext cx="76200" cy="206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233643</xdr:rowOff>
    </xdr:to>
    <xdr:sp macro="" textlink="">
      <xdr:nvSpPr>
        <xdr:cNvPr id="47" name="Text Box 88"/>
        <xdr:cNvSpPr txBox="1">
          <a:spLocks noChangeArrowheads="1"/>
        </xdr:cNvSpPr>
      </xdr:nvSpPr>
      <xdr:spPr bwMode="auto">
        <a:xfrm>
          <a:off x="3486150" y="0"/>
          <a:ext cx="7620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233643</xdr:rowOff>
    </xdr:to>
    <xdr:sp macro="" textlink="">
      <xdr:nvSpPr>
        <xdr:cNvPr id="48" name="Text Box 89"/>
        <xdr:cNvSpPr txBox="1">
          <a:spLocks noChangeArrowheads="1"/>
        </xdr:cNvSpPr>
      </xdr:nvSpPr>
      <xdr:spPr bwMode="auto">
        <a:xfrm>
          <a:off x="3486150" y="0"/>
          <a:ext cx="7620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95250</xdr:colOff>
      <xdr:row>8</xdr:row>
      <xdr:rowOff>54348</xdr:rowOff>
    </xdr:to>
    <xdr:sp macro="" textlink="">
      <xdr:nvSpPr>
        <xdr:cNvPr id="49" name="Text Box 93"/>
        <xdr:cNvSpPr txBox="1">
          <a:spLocks noChangeArrowheads="1"/>
        </xdr:cNvSpPr>
      </xdr:nvSpPr>
      <xdr:spPr bwMode="auto">
        <a:xfrm>
          <a:off x="3486150" y="914400"/>
          <a:ext cx="95250" cy="206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62192</xdr:rowOff>
    </xdr:to>
    <xdr:sp macro="" textlink="">
      <xdr:nvSpPr>
        <xdr:cNvPr id="50" name="Text Box 94"/>
        <xdr:cNvSpPr txBox="1">
          <a:spLocks noChangeArrowheads="1"/>
        </xdr:cNvSpPr>
      </xdr:nvSpPr>
      <xdr:spPr bwMode="auto">
        <a:xfrm>
          <a:off x="3486150" y="914400"/>
          <a:ext cx="76200" cy="21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8</xdr:row>
      <xdr:rowOff>62192</xdr:rowOff>
    </xdr:to>
    <xdr:sp macro="" textlink="">
      <xdr:nvSpPr>
        <xdr:cNvPr id="51" name="Text Box 95"/>
        <xdr:cNvSpPr txBox="1">
          <a:spLocks noChangeArrowheads="1"/>
        </xdr:cNvSpPr>
      </xdr:nvSpPr>
      <xdr:spPr bwMode="auto">
        <a:xfrm>
          <a:off x="3486150" y="914400"/>
          <a:ext cx="85725" cy="21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71717</xdr:rowOff>
    </xdr:to>
    <xdr:sp macro="" textlink="">
      <xdr:nvSpPr>
        <xdr:cNvPr id="52" name="Text Box 96"/>
        <xdr:cNvSpPr txBox="1">
          <a:spLocks noChangeArrowheads="1"/>
        </xdr:cNvSpPr>
      </xdr:nvSpPr>
      <xdr:spPr bwMode="auto">
        <a:xfrm>
          <a:off x="3486150" y="914400"/>
          <a:ext cx="76200" cy="22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8</xdr:row>
      <xdr:rowOff>71717</xdr:rowOff>
    </xdr:to>
    <xdr:sp macro="" textlink="">
      <xdr:nvSpPr>
        <xdr:cNvPr id="53" name="Text Box 97"/>
        <xdr:cNvSpPr txBox="1">
          <a:spLocks noChangeArrowheads="1"/>
        </xdr:cNvSpPr>
      </xdr:nvSpPr>
      <xdr:spPr bwMode="auto">
        <a:xfrm>
          <a:off x="3486150" y="914400"/>
          <a:ext cx="76200" cy="22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95250</xdr:colOff>
      <xdr:row>11</xdr:row>
      <xdr:rowOff>43143</xdr:rowOff>
    </xdr:to>
    <xdr:sp macro="" textlink="">
      <xdr:nvSpPr>
        <xdr:cNvPr id="54" name="Text Box 101"/>
        <xdr:cNvSpPr txBox="1">
          <a:spLocks noChangeArrowheads="1"/>
        </xdr:cNvSpPr>
      </xdr:nvSpPr>
      <xdr:spPr bwMode="auto">
        <a:xfrm>
          <a:off x="3486150" y="1371600"/>
          <a:ext cx="95250" cy="1955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147919</xdr:rowOff>
    </xdr:to>
    <xdr:sp macro="" textlink="">
      <xdr:nvSpPr>
        <xdr:cNvPr id="55" name="Text Box 102"/>
        <xdr:cNvSpPr txBox="1">
          <a:spLocks noChangeArrowheads="1"/>
        </xdr:cNvSpPr>
      </xdr:nvSpPr>
      <xdr:spPr bwMode="auto">
        <a:xfrm>
          <a:off x="3486150" y="1371600"/>
          <a:ext cx="76200" cy="300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11</xdr:row>
      <xdr:rowOff>100294</xdr:rowOff>
    </xdr:to>
    <xdr:sp macro="" textlink="">
      <xdr:nvSpPr>
        <xdr:cNvPr id="56" name="Text Box 103"/>
        <xdr:cNvSpPr txBox="1">
          <a:spLocks noChangeArrowheads="1"/>
        </xdr:cNvSpPr>
      </xdr:nvSpPr>
      <xdr:spPr bwMode="auto">
        <a:xfrm>
          <a:off x="3486150" y="1371600"/>
          <a:ext cx="85725" cy="252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128869</xdr:rowOff>
    </xdr:to>
    <xdr:sp macro="" textlink="">
      <xdr:nvSpPr>
        <xdr:cNvPr id="57" name="Text Box 104"/>
        <xdr:cNvSpPr txBox="1">
          <a:spLocks noChangeArrowheads="1"/>
        </xdr:cNvSpPr>
      </xdr:nvSpPr>
      <xdr:spPr bwMode="auto">
        <a:xfrm>
          <a:off x="3486150" y="1371600"/>
          <a:ext cx="76200" cy="281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11</xdr:row>
      <xdr:rowOff>128869</xdr:rowOff>
    </xdr:to>
    <xdr:sp macro="" textlink="">
      <xdr:nvSpPr>
        <xdr:cNvPr id="58" name="Text Box 105"/>
        <xdr:cNvSpPr txBox="1">
          <a:spLocks noChangeArrowheads="1"/>
        </xdr:cNvSpPr>
      </xdr:nvSpPr>
      <xdr:spPr bwMode="auto">
        <a:xfrm>
          <a:off x="3486150" y="1371600"/>
          <a:ext cx="76200" cy="281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66675</xdr:colOff>
      <xdr:row>14</xdr:row>
      <xdr:rowOff>67235</xdr:rowOff>
    </xdr:to>
    <xdr:sp macro="" textlink="">
      <xdr:nvSpPr>
        <xdr:cNvPr id="59" name="Text Box 109"/>
        <xdr:cNvSpPr txBox="1">
          <a:spLocks noChangeArrowheads="1"/>
        </xdr:cNvSpPr>
      </xdr:nvSpPr>
      <xdr:spPr bwMode="auto">
        <a:xfrm>
          <a:off x="3486150" y="1828800"/>
          <a:ext cx="66675" cy="21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14</xdr:row>
      <xdr:rowOff>147917</xdr:rowOff>
    </xdr:to>
    <xdr:sp macro="" textlink="">
      <xdr:nvSpPr>
        <xdr:cNvPr id="60" name="Text Box 110"/>
        <xdr:cNvSpPr txBox="1">
          <a:spLocks noChangeArrowheads="1"/>
        </xdr:cNvSpPr>
      </xdr:nvSpPr>
      <xdr:spPr bwMode="auto">
        <a:xfrm>
          <a:off x="3486150" y="1828800"/>
          <a:ext cx="76200" cy="30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14</xdr:row>
      <xdr:rowOff>100292</xdr:rowOff>
    </xdr:to>
    <xdr:sp macro="" textlink="">
      <xdr:nvSpPr>
        <xdr:cNvPr id="61" name="Text Box 111"/>
        <xdr:cNvSpPr txBox="1">
          <a:spLocks noChangeArrowheads="1"/>
        </xdr:cNvSpPr>
      </xdr:nvSpPr>
      <xdr:spPr bwMode="auto">
        <a:xfrm>
          <a:off x="3486150" y="1828800"/>
          <a:ext cx="85725" cy="252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14</xdr:row>
      <xdr:rowOff>128867</xdr:rowOff>
    </xdr:to>
    <xdr:sp macro="" textlink="">
      <xdr:nvSpPr>
        <xdr:cNvPr id="62" name="Text Box 112"/>
        <xdr:cNvSpPr txBox="1">
          <a:spLocks noChangeArrowheads="1"/>
        </xdr:cNvSpPr>
      </xdr:nvSpPr>
      <xdr:spPr bwMode="auto">
        <a:xfrm>
          <a:off x="3486150" y="1828800"/>
          <a:ext cx="76200" cy="28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14</xdr:row>
      <xdr:rowOff>128867</xdr:rowOff>
    </xdr:to>
    <xdr:sp macro="" textlink="">
      <xdr:nvSpPr>
        <xdr:cNvPr id="63" name="Text Box 113"/>
        <xdr:cNvSpPr txBox="1">
          <a:spLocks noChangeArrowheads="1"/>
        </xdr:cNvSpPr>
      </xdr:nvSpPr>
      <xdr:spPr bwMode="auto">
        <a:xfrm>
          <a:off x="3486150" y="1828800"/>
          <a:ext cx="76200" cy="28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161925</xdr:rowOff>
    </xdr:to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3486150" y="0"/>
          <a:ext cx="666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65" name="Text Box 10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161925</xdr:rowOff>
    </xdr:to>
    <xdr:sp macro="" textlink="">
      <xdr:nvSpPr>
        <xdr:cNvPr id="66" name="Text Box 11"/>
        <xdr:cNvSpPr txBox="1">
          <a:spLocks noChangeArrowheads="1"/>
        </xdr:cNvSpPr>
      </xdr:nvSpPr>
      <xdr:spPr bwMode="auto">
        <a:xfrm>
          <a:off x="3486150" y="0"/>
          <a:ext cx="85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67" name="Text Box 13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68" name="Text Box 14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161925</xdr:rowOff>
    </xdr:to>
    <xdr:sp macro="" textlink="">
      <xdr:nvSpPr>
        <xdr:cNvPr id="69" name="Text Box 18"/>
        <xdr:cNvSpPr txBox="1">
          <a:spLocks noChangeArrowheads="1"/>
        </xdr:cNvSpPr>
      </xdr:nvSpPr>
      <xdr:spPr bwMode="auto">
        <a:xfrm>
          <a:off x="3486150" y="0"/>
          <a:ext cx="666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70" name="Text Box 19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161925</xdr:rowOff>
    </xdr:to>
    <xdr:sp macro="" textlink="">
      <xdr:nvSpPr>
        <xdr:cNvPr id="71" name="Text Box 20"/>
        <xdr:cNvSpPr txBox="1">
          <a:spLocks noChangeArrowheads="1"/>
        </xdr:cNvSpPr>
      </xdr:nvSpPr>
      <xdr:spPr bwMode="auto">
        <a:xfrm>
          <a:off x="3486150" y="0"/>
          <a:ext cx="85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72" name="Text Box 21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73" name="Text Box 22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161925</xdr:rowOff>
    </xdr:to>
    <xdr:sp macro="" textlink="">
      <xdr:nvSpPr>
        <xdr:cNvPr id="74" name="Text Box 26"/>
        <xdr:cNvSpPr txBox="1">
          <a:spLocks noChangeArrowheads="1"/>
        </xdr:cNvSpPr>
      </xdr:nvSpPr>
      <xdr:spPr bwMode="auto">
        <a:xfrm>
          <a:off x="3486150" y="0"/>
          <a:ext cx="666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75" name="Text Box 27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161925</xdr:rowOff>
    </xdr:to>
    <xdr:sp macro="" textlink="">
      <xdr:nvSpPr>
        <xdr:cNvPr id="76" name="Text Box 28"/>
        <xdr:cNvSpPr txBox="1">
          <a:spLocks noChangeArrowheads="1"/>
        </xdr:cNvSpPr>
      </xdr:nvSpPr>
      <xdr:spPr bwMode="auto">
        <a:xfrm>
          <a:off x="3486150" y="0"/>
          <a:ext cx="85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77" name="Text Box 29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78" name="Text Box 30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161925</xdr:rowOff>
    </xdr:to>
    <xdr:sp macro="" textlink="">
      <xdr:nvSpPr>
        <xdr:cNvPr id="79" name="Text Box 35"/>
        <xdr:cNvSpPr txBox="1">
          <a:spLocks noChangeArrowheads="1"/>
        </xdr:cNvSpPr>
      </xdr:nvSpPr>
      <xdr:spPr bwMode="auto">
        <a:xfrm>
          <a:off x="3486150" y="0"/>
          <a:ext cx="666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80" name="Text Box 36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0</xdr:row>
      <xdr:rowOff>161925</xdr:rowOff>
    </xdr:to>
    <xdr:sp macro="" textlink="">
      <xdr:nvSpPr>
        <xdr:cNvPr id="81" name="Text Box 37"/>
        <xdr:cNvSpPr txBox="1">
          <a:spLocks noChangeArrowheads="1"/>
        </xdr:cNvSpPr>
      </xdr:nvSpPr>
      <xdr:spPr bwMode="auto">
        <a:xfrm>
          <a:off x="3486150" y="0"/>
          <a:ext cx="85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82" name="Text Box 38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161925</xdr:rowOff>
    </xdr:to>
    <xdr:sp macro="" textlink="">
      <xdr:nvSpPr>
        <xdr:cNvPr id="83" name="Text Box 39"/>
        <xdr:cNvSpPr txBox="1">
          <a:spLocks noChangeArrowheads="1"/>
        </xdr:cNvSpPr>
      </xdr:nvSpPr>
      <xdr:spPr bwMode="auto">
        <a:xfrm>
          <a:off x="3486150" y="0"/>
          <a:ext cx="76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223557</xdr:rowOff>
    </xdr:to>
    <xdr:sp macro="" textlink="">
      <xdr:nvSpPr>
        <xdr:cNvPr id="84" name="Text Box 43"/>
        <xdr:cNvSpPr txBox="1">
          <a:spLocks noChangeArrowheads="1"/>
        </xdr:cNvSpPr>
      </xdr:nvSpPr>
      <xdr:spPr bwMode="auto">
        <a:xfrm>
          <a:off x="4533900" y="0"/>
          <a:ext cx="76200" cy="214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224117</xdr:rowOff>
    </xdr:to>
    <xdr:sp macro="" textlink="">
      <xdr:nvSpPr>
        <xdr:cNvPr id="85" name="Text Box 44"/>
        <xdr:cNvSpPr txBox="1">
          <a:spLocks noChangeArrowheads="1"/>
        </xdr:cNvSpPr>
      </xdr:nvSpPr>
      <xdr:spPr bwMode="auto">
        <a:xfrm>
          <a:off x="4533900" y="0"/>
          <a:ext cx="76200" cy="214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233642</xdr:rowOff>
    </xdr:to>
    <xdr:sp macro="" textlink="">
      <xdr:nvSpPr>
        <xdr:cNvPr id="86" name="Text Box 45"/>
        <xdr:cNvSpPr txBox="1">
          <a:spLocks noChangeArrowheads="1"/>
        </xdr:cNvSpPr>
      </xdr:nvSpPr>
      <xdr:spPr bwMode="auto">
        <a:xfrm>
          <a:off x="4533900" y="0"/>
          <a:ext cx="76200" cy="22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0</xdr:row>
      <xdr:rowOff>233642</xdr:rowOff>
    </xdr:to>
    <xdr:sp macro="" textlink="">
      <xdr:nvSpPr>
        <xdr:cNvPr id="87" name="Text Box 46"/>
        <xdr:cNvSpPr txBox="1">
          <a:spLocks noChangeArrowheads="1"/>
        </xdr:cNvSpPr>
      </xdr:nvSpPr>
      <xdr:spPr bwMode="auto">
        <a:xfrm>
          <a:off x="4533900" y="0"/>
          <a:ext cx="76200" cy="22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0</xdr:row>
      <xdr:rowOff>0</xdr:rowOff>
    </xdr:from>
    <xdr:to>
      <xdr:col>6</xdr:col>
      <xdr:colOff>142875</xdr:colOff>
      <xdr:row>0</xdr:row>
      <xdr:rowOff>216273</xdr:rowOff>
    </xdr:to>
    <xdr:sp macro="" textlink="">
      <xdr:nvSpPr>
        <xdr:cNvPr id="88" name="Text Box 80"/>
        <xdr:cNvSpPr txBox="1">
          <a:spLocks noChangeArrowheads="1"/>
        </xdr:cNvSpPr>
      </xdr:nvSpPr>
      <xdr:spPr bwMode="auto">
        <a:xfrm>
          <a:off x="6124575" y="0"/>
          <a:ext cx="76200" cy="206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0</xdr:row>
      <xdr:rowOff>0</xdr:rowOff>
    </xdr:from>
    <xdr:to>
      <xdr:col>6</xdr:col>
      <xdr:colOff>142875</xdr:colOff>
      <xdr:row>0</xdr:row>
      <xdr:rowOff>227479</xdr:rowOff>
    </xdr:to>
    <xdr:sp macro="" textlink="">
      <xdr:nvSpPr>
        <xdr:cNvPr id="89" name="Text Box 81"/>
        <xdr:cNvSpPr txBox="1">
          <a:spLocks noChangeArrowheads="1"/>
        </xdr:cNvSpPr>
      </xdr:nvSpPr>
      <xdr:spPr bwMode="auto">
        <a:xfrm>
          <a:off x="6124575" y="0"/>
          <a:ext cx="76200" cy="217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66675</xdr:colOff>
      <xdr:row>0</xdr:row>
      <xdr:rowOff>0</xdr:rowOff>
    </xdr:from>
    <xdr:to>
      <xdr:col>6</xdr:col>
      <xdr:colOff>142875</xdr:colOff>
      <xdr:row>0</xdr:row>
      <xdr:rowOff>227479</xdr:rowOff>
    </xdr:to>
    <xdr:sp macro="" textlink="">
      <xdr:nvSpPr>
        <xdr:cNvPr id="90" name="Text Box 82"/>
        <xdr:cNvSpPr txBox="1">
          <a:spLocks noChangeArrowheads="1"/>
        </xdr:cNvSpPr>
      </xdr:nvSpPr>
      <xdr:spPr bwMode="auto">
        <a:xfrm>
          <a:off x="6124575" y="0"/>
          <a:ext cx="76200" cy="217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235323</xdr:rowOff>
    </xdr:to>
    <xdr:sp macro="" textlink="">
      <xdr:nvSpPr>
        <xdr:cNvPr id="91" name="Text Box 85"/>
        <xdr:cNvSpPr txBox="1">
          <a:spLocks noChangeArrowheads="1"/>
        </xdr:cNvSpPr>
      </xdr:nvSpPr>
      <xdr:spPr bwMode="auto">
        <a:xfrm>
          <a:off x="3486150" y="0"/>
          <a:ext cx="95250" cy="22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216273</xdr:rowOff>
    </xdr:to>
    <xdr:sp macro="" textlink="">
      <xdr:nvSpPr>
        <xdr:cNvPr id="92" name="Text Box 86"/>
        <xdr:cNvSpPr txBox="1">
          <a:spLocks noChangeArrowheads="1"/>
        </xdr:cNvSpPr>
      </xdr:nvSpPr>
      <xdr:spPr bwMode="auto">
        <a:xfrm>
          <a:off x="3486150" y="0"/>
          <a:ext cx="76200" cy="206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233643</xdr:rowOff>
    </xdr:to>
    <xdr:sp macro="" textlink="">
      <xdr:nvSpPr>
        <xdr:cNvPr id="93" name="Text Box 88"/>
        <xdr:cNvSpPr txBox="1">
          <a:spLocks noChangeArrowheads="1"/>
        </xdr:cNvSpPr>
      </xdr:nvSpPr>
      <xdr:spPr bwMode="auto">
        <a:xfrm>
          <a:off x="3486150" y="0"/>
          <a:ext cx="7620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233643</xdr:rowOff>
    </xdr:to>
    <xdr:sp macro="" textlink="">
      <xdr:nvSpPr>
        <xdr:cNvPr id="94" name="Text Box 89"/>
        <xdr:cNvSpPr txBox="1">
          <a:spLocks noChangeArrowheads="1"/>
        </xdr:cNvSpPr>
      </xdr:nvSpPr>
      <xdr:spPr bwMode="auto">
        <a:xfrm>
          <a:off x="3486150" y="0"/>
          <a:ext cx="76200" cy="224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sole\Local%20Settings\Temporary%20Internet%20Files\OLK7C\Libro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2"/>
      <sheetName val="RESUMEN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42"/>
  <sheetViews>
    <sheetView tabSelected="1" zoomScale="80" zoomScaleNormal="80" workbookViewId="0">
      <selection activeCell="AC59" sqref="AC59"/>
    </sheetView>
  </sheetViews>
  <sheetFormatPr baseColWidth="10" defaultColWidth="11.42578125" defaultRowHeight="12.75"/>
  <cols>
    <col min="1" max="1" width="31.85546875" style="1" customWidth="1"/>
    <col min="2" max="6" width="20.7109375" style="1" customWidth="1"/>
    <col min="7" max="7" width="21.5703125" style="1" customWidth="1"/>
    <col min="8" max="8" width="11.42578125" style="626" hidden="1" customWidth="1"/>
    <col min="9" max="9" width="49.28515625" style="1" hidden="1" customWidth="1"/>
    <col min="10" max="11" width="11.42578125" style="1" hidden="1" customWidth="1"/>
    <col min="12" max="12" width="20.28515625" style="1" hidden="1" customWidth="1"/>
    <col min="13" max="18" width="11.42578125" style="1" hidden="1" customWidth="1"/>
    <col min="19" max="19" width="64.42578125" style="1" hidden="1" customWidth="1"/>
    <col min="20" max="20" width="49.28515625" style="1" hidden="1" customWidth="1"/>
    <col min="21" max="21" width="34.42578125" style="1" hidden="1" customWidth="1"/>
    <col min="22" max="24" width="11.42578125" style="1" hidden="1" customWidth="1"/>
    <col min="25" max="26" width="0" style="1" hidden="1" customWidth="1"/>
    <col min="27" max="16384" width="11.42578125" style="1"/>
  </cols>
  <sheetData>
    <row r="1" spans="1:9" ht="17.100000000000001" customHeight="1">
      <c r="A1" s="768" t="str">
        <f>TranslationInterface!E6</f>
        <v>CÁLCULOS ENERGÉTICOS SEGÚN EN 13790</v>
      </c>
      <c r="B1" s="769"/>
      <c r="C1" s="769"/>
      <c r="D1" s="769"/>
      <c r="E1" s="769"/>
      <c r="F1" s="769"/>
      <c r="G1" s="770"/>
    </row>
    <row r="2" spans="1:9" ht="17.100000000000001" customHeight="1">
      <c r="A2" s="771" t="str">
        <f>TranslationInterface!E7</f>
        <v>Método mensual</v>
      </c>
      <c r="B2" s="772"/>
      <c r="C2" s="772"/>
      <c r="D2" s="772"/>
      <c r="E2" s="772"/>
      <c r="F2" s="772"/>
      <c r="G2" s="773"/>
    </row>
    <row r="3" spans="1:9" ht="17.100000000000001" customHeight="1">
      <c r="A3" s="771" t="str">
        <f>TranslationInterface!E8</f>
        <v>Entrada de datos simplificada adaptada a la rehabilitación</v>
      </c>
      <c r="B3" s="772"/>
      <c r="C3" s="772"/>
      <c r="D3" s="772"/>
      <c r="E3" s="772"/>
      <c r="F3" s="772"/>
      <c r="G3" s="773"/>
    </row>
    <row r="4" spans="1:9" ht="17.100000000000001" customHeight="1">
      <c r="A4" s="276" t="str">
        <f>TranslationInterface!E9</f>
        <v>Nombre o referencia edifico</v>
      </c>
      <c r="B4" s="777" t="s">
        <v>762</v>
      </c>
      <c r="C4" s="778"/>
      <c r="D4" s="778"/>
      <c r="E4" s="778"/>
      <c r="F4" s="779"/>
      <c r="G4" s="737">
        <v>1</v>
      </c>
    </row>
    <row r="5" spans="1:9" ht="17.100000000000001" customHeight="1">
      <c r="A5" s="276" t="str">
        <f>TranslationInterface!E10</f>
        <v>Emplazamiento</v>
      </c>
      <c r="B5" s="278">
        <v>6</v>
      </c>
      <c r="C5" s="279"/>
      <c r="D5" s="279"/>
      <c r="E5" s="279"/>
      <c r="F5" s="279"/>
      <c r="G5" s="277"/>
    </row>
    <row r="6" spans="1:9" ht="17.100000000000001" customHeight="1">
      <c r="A6" s="276" t="str">
        <f>TranslationInterface!E11</f>
        <v>Superficie interior (m2)</v>
      </c>
      <c r="B6" s="780">
        <v>1582.5</v>
      </c>
      <c r="C6" s="780"/>
      <c r="D6" s="279"/>
      <c r="E6" s="279"/>
      <c r="F6" s="322" t="str">
        <f>TranslationInterface!E23</f>
        <v>Caso Inicial</v>
      </c>
      <c r="G6" s="309" t="str">
        <f>TranslationInterface!E24</f>
        <v>Caso Final</v>
      </c>
    </row>
    <row r="7" spans="1:9" ht="17.100000000000001" customHeight="1">
      <c r="A7" s="276" t="str">
        <f>TranslationInterface!E12</f>
        <v>Volumen Interior (m3)</v>
      </c>
      <c r="B7" s="780">
        <f>B6*2.7</f>
        <v>4272.75</v>
      </c>
      <c r="C7" s="780"/>
      <c r="D7" s="279"/>
      <c r="E7" s="281" t="str">
        <f>TranslationInterface!E17</f>
        <v>Demanda calefacción kWh/m2/año</v>
      </c>
      <c r="F7" s="282">
        <f>CalculationBefore!B117 /B6</f>
        <v>105.05155078279792</v>
      </c>
      <c r="G7" s="283">
        <f>CalculationAfter!B117 /B6</f>
        <v>105.05155078279792</v>
      </c>
    </row>
    <row r="8" spans="1:9" ht="17.100000000000001" customHeight="1">
      <c r="A8" s="276"/>
      <c r="B8" s="322" t="str">
        <f>TranslationInterface!E23</f>
        <v>Caso Inicial</v>
      </c>
      <c r="C8" s="309" t="str">
        <f>TranslationInterface!E24</f>
        <v>Caso Final</v>
      </c>
      <c r="D8" s="279"/>
      <c r="E8" s="281" t="str">
        <f>TranslationInterface!E18</f>
        <v>Demanda refrigeración kWh/m2/año</v>
      </c>
      <c r="F8" s="282">
        <f>CalculationBefore!B118/B6</f>
        <v>31.265784662439884</v>
      </c>
      <c r="G8" s="283">
        <f>CalculationAfter!B118/B6</f>
        <v>31.265784662439884</v>
      </c>
      <c r="H8" s="627" t="s">
        <v>243</v>
      </c>
      <c r="I8" s="223" t="s">
        <v>242</v>
      </c>
    </row>
    <row r="9" spans="1:9" ht="17.100000000000001" customHeight="1">
      <c r="A9" s="276" t="str">
        <f>TranslationInterface!E13</f>
        <v>Tasa Infiltración y ventilación (n)</v>
      </c>
      <c r="B9" s="284">
        <v>2</v>
      </c>
      <c r="C9" s="284">
        <v>2</v>
      </c>
      <c r="D9" s="279"/>
      <c r="E9" s="281" t="str">
        <f>TranslationInterface!E19</f>
        <v>Demanda de energía total kWh/m2/año</v>
      </c>
      <c r="F9" s="282">
        <f>CalculationBefore!B119/B6</f>
        <v>136.3173354452378</v>
      </c>
      <c r="G9" s="283">
        <f>CalculationAfter!B119/B6</f>
        <v>136.3173354452378</v>
      </c>
      <c r="H9" s="626">
        <f>INDEX('Default data'!B2:B6,B9)</f>
        <v>0.5</v>
      </c>
      <c r="I9" s="1">
        <f>INDEX('Default data'!B2:B6,C9)</f>
        <v>0.5</v>
      </c>
    </row>
    <row r="10" spans="1:9" ht="17.100000000000001" customHeight="1">
      <c r="A10" s="276" t="str">
        <f>TranslationInterface!E14</f>
        <v>Eficiencia recuperador de calor (0 a 1)</v>
      </c>
      <c r="B10" s="635">
        <v>1</v>
      </c>
      <c r="C10" s="635">
        <v>1</v>
      </c>
      <c r="D10" s="279"/>
      <c r="E10" s="281" t="str">
        <f>TranslationInterface!E20</f>
        <v>Ahorro de calefacción %</v>
      </c>
      <c r="F10" s="781">
        <f>IF(F7=0,0,(F7-G7)/F7)</f>
        <v>0</v>
      </c>
      <c r="G10" s="782"/>
    </row>
    <row r="11" spans="1:9" ht="17.100000000000001" hidden="1" customHeight="1">
      <c r="A11" s="276"/>
      <c r="B11" s="292">
        <f>INDEX('Default data'!$B$97:$B$99,B10)</f>
        <v>0</v>
      </c>
      <c r="C11" s="292">
        <f>INDEX('Default data'!$B$97:$B$99,C10)</f>
        <v>0</v>
      </c>
      <c r="D11" s="279"/>
      <c r="E11" s="281"/>
      <c r="F11" s="546"/>
      <c r="G11" s="547"/>
    </row>
    <row r="12" spans="1:9" ht="17.100000000000001" customHeight="1">
      <c r="A12" s="287" t="str">
        <f>TranslationInterface!E15</f>
        <v>Ventilación nocturna en verano (n)</v>
      </c>
      <c r="B12" s="288">
        <v>3</v>
      </c>
      <c r="C12" s="288">
        <v>3</v>
      </c>
      <c r="D12" s="279"/>
      <c r="E12" s="281" t="str">
        <f>TranslationInterface!E21</f>
        <v>Ahorro de refrigeración %</v>
      </c>
      <c r="F12" s="781">
        <f>(F8-G8)/F8</f>
        <v>0</v>
      </c>
      <c r="G12" s="782"/>
      <c r="H12" s="626">
        <f>INDEX('Default data'!B9:B12,B12)</f>
        <v>3</v>
      </c>
      <c r="I12" s="1">
        <f>INDEX('Default data'!B9:B12,C12)</f>
        <v>3</v>
      </c>
    </row>
    <row r="13" spans="1:9" ht="17.100000000000001" customHeight="1" thickBot="1">
      <c r="A13" s="276" t="str">
        <f>TranslationInterface!E16</f>
        <v>Ganancias interiores (Wh/m2)</v>
      </c>
      <c r="B13" s="288">
        <v>1</v>
      </c>
      <c r="C13" s="288"/>
      <c r="D13" s="279"/>
      <c r="E13" s="281" t="str">
        <f>TranslationInterface!E22</f>
        <v>Ahorro de energía total %</v>
      </c>
      <c r="F13" s="781">
        <f>(F9-G9)/F9</f>
        <v>0</v>
      </c>
      <c r="G13" s="782"/>
      <c r="H13" s="626">
        <f>INDEX('Default data'!B15:B18,B13)</f>
        <v>2</v>
      </c>
    </row>
    <row r="14" spans="1:9" ht="16.5" hidden="1" customHeight="1" thickBot="1">
      <c r="A14" s="287" t="s">
        <v>267</v>
      </c>
      <c r="B14" s="337">
        <v>3</v>
      </c>
      <c r="C14" s="337">
        <v>3</v>
      </c>
      <c r="D14" s="279"/>
      <c r="E14" s="279"/>
      <c r="F14" s="279"/>
      <c r="G14" s="277"/>
      <c r="H14" s="626">
        <f>INDEX('Default data'!B21:B24,B14)</f>
        <v>300</v>
      </c>
      <c r="I14" s="1">
        <f>INDEX('Default data'!B21:B24,C14)</f>
        <v>300</v>
      </c>
    </row>
    <row r="15" spans="1:9" ht="17.100000000000001" customHeight="1">
      <c r="A15" s="774" t="str">
        <f>TranslationInterface!E25</f>
        <v>Paredes Exteriores</v>
      </c>
      <c r="B15" s="775"/>
      <c r="C15" s="775"/>
      <c r="D15" s="775"/>
      <c r="E15" s="775"/>
      <c r="F15" s="775"/>
      <c r="G15" s="776"/>
    </row>
    <row r="16" spans="1:9" ht="17.100000000000001" customHeight="1">
      <c r="A16" s="276"/>
      <c r="B16" s="289" t="str">
        <f>TranslationInterface!E26</f>
        <v>Sur</v>
      </c>
      <c r="C16" s="290" t="str">
        <f>TranslationInterface!E27</f>
        <v>Sur Este</v>
      </c>
      <c r="D16" s="290" t="str">
        <f>TranslationInterface!E28</f>
        <v>Este</v>
      </c>
      <c r="E16" s="290" t="str">
        <f>TranslationInterface!E29</f>
        <v>Norte/NEste / NOeste</v>
      </c>
      <c r="F16" s="290" t="str">
        <f>TranslationInterface!E30</f>
        <v>Oeste</v>
      </c>
      <c r="G16" s="291" t="str">
        <f>TranslationInterface!E31</f>
        <v>Sur Oeste</v>
      </c>
    </row>
    <row r="17" spans="1:7" ht="17.100000000000001" customHeight="1">
      <c r="A17" s="287" t="str">
        <f>TranslationInterface!E32</f>
        <v>Área total (m2)</v>
      </c>
      <c r="B17" s="292">
        <v>75</v>
      </c>
      <c r="C17" s="292"/>
      <c r="D17" s="292">
        <v>394.5</v>
      </c>
      <c r="E17" s="292">
        <v>231</v>
      </c>
      <c r="F17" s="292">
        <v>394.5</v>
      </c>
      <c r="G17" s="293"/>
    </row>
    <row r="18" spans="1:7" ht="17.100000000000001" customHeight="1">
      <c r="A18" s="287" t="str">
        <f>TranslationInterface!E33</f>
        <v>Porcentaje de huecos (0 a 1)</v>
      </c>
      <c r="B18" s="294">
        <v>0.03</v>
      </c>
      <c r="C18" s="294"/>
      <c r="D18" s="294">
        <v>0.1</v>
      </c>
      <c r="E18" s="294">
        <v>0.25</v>
      </c>
      <c r="F18" s="294">
        <v>0.1</v>
      </c>
      <c r="G18" s="295"/>
    </row>
    <row r="19" spans="1:7" ht="17.100000000000001" customHeight="1">
      <c r="A19" s="741" t="str">
        <f>TranslationInterface!E23</f>
        <v>Caso Inicial</v>
      </c>
      <c r="B19" s="742"/>
      <c r="C19" s="742"/>
      <c r="D19" s="742"/>
      <c r="E19" s="742"/>
      <c r="F19" s="742"/>
      <c r="G19" s="784"/>
    </row>
    <row r="20" spans="1:7" ht="17.100000000000001" customHeight="1">
      <c r="A20" s="296" t="str">
        <f>TranslationInterface!E34</f>
        <v>Aislamiento parte opaca paredes</v>
      </c>
      <c r="B20" s="328">
        <v>2</v>
      </c>
      <c r="C20" s="328">
        <v>1</v>
      </c>
      <c r="D20" s="328">
        <v>2</v>
      </c>
      <c r="E20" s="328">
        <v>2</v>
      </c>
      <c r="F20" s="328">
        <v>2</v>
      </c>
      <c r="G20" s="329">
        <v>1</v>
      </c>
    </row>
    <row r="21" spans="1:7" ht="7.9" hidden="1" customHeight="1">
      <c r="A21" s="297" t="s">
        <v>208</v>
      </c>
      <c r="B21" s="324">
        <f>INDEX('Default data'!$B$44:$B$52,B20)</f>
        <v>2</v>
      </c>
      <c r="C21" s="324">
        <f>INDEX('Default data'!$B$44:$B$52,C20)</f>
        <v>0</v>
      </c>
      <c r="D21" s="324">
        <f>INDEX('Default data'!$B$44:$B$52,D20)</f>
        <v>2</v>
      </c>
      <c r="E21" s="324">
        <f>INDEX('Default data'!$B$44:$B$52,E20)</f>
        <v>2</v>
      </c>
      <c r="F21" s="324">
        <f>INDEX('Default data'!$B$44:$B$52,F20)</f>
        <v>2</v>
      </c>
      <c r="G21" s="325">
        <f>INDEX('Default data'!$B$44:$B$52,G20)</f>
        <v>0</v>
      </c>
    </row>
    <row r="22" spans="1:7" ht="17.100000000000001" customHeight="1">
      <c r="A22" s="297" t="str">
        <f>TranslationInterface!E35</f>
        <v>Huecos y carpintería</v>
      </c>
      <c r="B22" s="275">
        <v>5</v>
      </c>
      <c r="C22" s="275">
        <v>1</v>
      </c>
      <c r="D22" s="275">
        <v>5</v>
      </c>
      <c r="E22" s="275">
        <v>5</v>
      </c>
      <c r="F22" s="275">
        <v>5</v>
      </c>
      <c r="G22" s="317">
        <v>1</v>
      </c>
    </row>
    <row r="23" spans="1:7" ht="17.100000000000001" hidden="1" customHeight="1">
      <c r="A23" s="297" t="s">
        <v>209</v>
      </c>
      <c r="B23" s="324">
        <f>INDEX('Default data'!$B$71:$B$87,B22)</f>
        <v>3.01</v>
      </c>
      <c r="C23" s="324">
        <f>INDEX('Default data'!$B$71:$B$87,C22)</f>
        <v>0</v>
      </c>
      <c r="D23" s="324">
        <f>INDEX('Default data'!$B$71:$B$87,D22)</f>
        <v>3.01</v>
      </c>
      <c r="E23" s="324">
        <f>INDEX('Default data'!$B$71:$B$87,E22)</f>
        <v>3.01</v>
      </c>
      <c r="F23" s="324">
        <f>INDEX('Default data'!$B$71:$B$87,F22)</f>
        <v>3.01</v>
      </c>
      <c r="G23" s="325">
        <f>INDEX('Default data'!$B$71:$B$87,G22)</f>
        <v>0</v>
      </c>
    </row>
    <row r="24" spans="1:7" ht="9.6" hidden="1" customHeight="1">
      <c r="A24" s="297" t="s">
        <v>210</v>
      </c>
      <c r="B24" s="324">
        <f>INDEX('Default data'!$C$71:$C$87,B22)</f>
        <v>0.61</v>
      </c>
      <c r="C24" s="324">
        <f>INDEX('Default data'!$C$71:$C$87,C22)</f>
        <v>0</v>
      </c>
      <c r="D24" s="324">
        <f>INDEX('Default data'!$C$71:$C$87,D22)</f>
        <v>0.61</v>
      </c>
      <c r="E24" s="324">
        <f>INDEX('Default data'!$C$71:$C$87,E22)</f>
        <v>0.61</v>
      </c>
      <c r="F24" s="324">
        <f>INDEX('Default data'!$C$71:$C$87,F22)</f>
        <v>0.61</v>
      </c>
      <c r="G24" s="325">
        <f>INDEX('Default data'!$C$71:$C$87,G22)</f>
        <v>0</v>
      </c>
    </row>
    <row r="25" spans="1:7" ht="17.100000000000001" customHeight="1">
      <c r="A25" s="297" t="str">
        <f>TranslationInterface!E36</f>
        <v>Protección solar verano</v>
      </c>
      <c r="B25" s="275">
        <v>3</v>
      </c>
      <c r="C25" s="275">
        <v>1</v>
      </c>
      <c r="D25" s="275">
        <v>3</v>
      </c>
      <c r="E25" s="285">
        <v>3</v>
      </c>
      <c r="F25" s="285">
        <v>3</v>
      </c>
      <c r="G25" s="298">
        <v>1</v>
      </c>
    </row>
    <row r="26" spans="1:7" ht="17.100000000000001" hidden="1" customHeight="1">
      <c r="A26" s="274" t="s">
        <v>217</v>
      </c>
      <c r="B26" s="324">
        <f>INDEX('Default data'!$B$90:$B$94,B25)</f>
        <v>0.7</v>
      </c>
      <c r="C26" s="324">
        <f>INDEX('Default data'!$B$90:$B$94,C25)</f>
        <v>1</v>
      </c>
      <c r="D26" s="324">
        <f>INDEX('Default data'!$B$90:$B$94,D25)</f>
        <v>0.7</v>
      </c>
      <c r="E26" s="324">
        <f>INDEX('Default data'!$B$90:$B$94,E25)</f>
        <v>0.7</v>
      </c>
      <c r="F26" s="324">
        <f>INDEX('Default data'!$B$90:$B$94,F25)</f>
        <v>0.7</v>
      </c>
      <c r="G26" s="325">
        <f>INDEX('Default data'!$B$90:$B$94,G25)</f>
        <v>1</v>
      </c>
    </row>
    <row r="27" spans="1:7" ht="17.100000000000001" customHeight="1">
      <c r="A27" s="297" t="str">
        <f>TranslationInterface!E37</f>
        <v>Factor corrector puentes térmicos</v>
      </c>
      <c r="B27" s="275">
        <v>5</v>
      </c>
      <c r="C27" s="275">
        <v>1</v>
      </c>
      <c r="D27" s="275">
        <v>5</v>
      </c>
      <c r="E27" s="275">
        <v>5</v>
      </c>
      <c r="F27" s="275">
        <v>5</v>
      </c>
      <c r="G27" s="317">
        <v>1</v>
      </c>
    </row>
    <row r="28" spans="1:7" ht="17.100000000000001" hidden="1" customHeight="1">
      <c r="A28" s="318"/>
      <c r="B28" s="316">
        <f>INDEX('Default data'!$B$27:$B$33,B27)</f>
        <v>1.3</v>
      </c>
      <c r="C28" s="316">
        <f>INDEX('Default data'!$B$27:$B$33,C27)</f>
        <v>1</v>
      </c>
      <c r="D28" s="316">
        <f>INDEX('Default data'!$B$27:$B$33,D27)</f>
        <v>1.3</v>
      </c>
      <c r="E28" s="316">
        <f>INDEX('Default data'!$B$27:$B$33,E27)</f>
        <v>1.3</v>
      </c>
      <c r="F28" s="316">
        <f>INDEX('Default data'!$B$27:$B$33,F27)</f>
        <v>1.3</v>
      </c>
      <c r="G28" s="319">
        <f>INDEX('Default data'!$B$27:$B$33,G27)</f>
        <v>1</v>
      </c>
    </row>
    <row r="29" spans="1:7" ht="17.100000000000001" customHeight="1">
      <c r="A29" s="765" t="str">
        <f>TranslationInterface!E24</f>
        <v>Caso Final</v>
      </c>
      <c r="B29" s="766"/>
      <c r="C29" s="766"/>
      <c r="D29" s="766"/>
      <c r="E29" s="766"/>
      <c r="F29" s="766"/>
      <c r="G29" s="783"/>
    </row>
    <row r="30" spans="1:7" ht="17.100000000000001" customHeight="1">
      <c r="A30" s="299" t="s">
        <v>778</v>
      </c>
      <c r="B30" s="280">
        <v>1</v>
      </c>
      <c r="C30" s="280">
        <v>1</v>
      </c>
      <c r="D30" s="280">
        <v>1</v>
      </c>
      <c r="E30" s="280">
        <v>1</v>
      </c>
      <c r="F30" s="280">
        <v>1</v>
      </c>
      <c r="G30" s="338">
        <v>1</v>
      </c>
    </row>
    <row r="31" spans="1:7" ht="17.100000000000001" hidden="1" customHeight="1">
      <c r="A31" s="299" t="s">
        <v>532</v>
      </c>
      <c r="B31" s="309">
        <f>INDEX(Products!$D$2:$D$128,B30)</f>
        <v>0</v>
      </c>
      <c r="C31" s="309">
        <f>INDEX(Products!$D$2:$D$128,C30)</f>
        <v>0</v>
      </c>
      <c r="D31" s="309">
        <f>INDEX(Products!$D$2:$D$128,D30)</f>
        <v>0</v>
      </c>
      <c r="E31" s="309">
        <f>INDEX(Products!$D$2:$D$128,E30)</f>
        <v>0</v>
      </c>
      <c r="F31" s="309">
        <f>INDEX(Products!$D$2:$D$128,F30)</f>
        <v>0</v>
      </c>
      <c r="G31" s="309">
        <f>INDEX(Products!$D$2:$D$128,G30)</f>
        <v>0</v>
      </c>
    </row>
    <row r="32" spans="1:7" ht="17.100000000000001" customHeight="1">
      <c r="A32" s="299" t="s">
        <v>779</v>
      </c>
      <c r="B32" s="280">
        <v>1</v>
      </c>
      <c r="C32" s="280">
        <v>1</v>
      </c>
      <c r="D32" s="280">
        <v>1</v>
      </c>
      <c r="E32" s="280">
        <v>1</v>
      </c>
      <c r="F32" s="280">
        <v>1</v>
      </c>
      <c r="G32" s="338">
        <v>1</v>
      </c>
    </row>
    <row r="33" spans="1:7" ht="17.100000000000001" hidden="1" customHeight="1">
      <c r="A33" s="299" t="s">
        <v>533</v>
      </c>
      <c r="B33" s="309">
        <f>INDEX(Products!$D$2:$D$128,B32)</f>
        <v>0</v>
      </c>
      <c r="C33" s="309">
        <f>INDEX(Products!$D$2:$D$128,C32)</f>
        <v>0</v>
      </c>
      <c r="D33" s="309">
        <f>INDEX(Products!$D$2:$D$128,D32)</f>
        <v>0</v>
      </c>
      <c r="E33" s="309">
        <f>INDEX(Products!$D$2:$D$128,E32)</f>
        <v>0</v>
      </c>
      <c r="F33" s="309">
        <f>INDEX(Products!$D$2:$D$128,F32)</f>
        <v>0</v>
      </c>
      <c r="G33" s="309">
        <f>INDEX(Products!$D$2:$D$128,G32)</f>
        <v>0</v>
      </c>
    </row>
    <row r="34" spans="1:7" ht="17.100000000000001" hidden="1" customHeight="1">
      <c r="A34" s="299" t="s">
        <v>246</v>
      </c>
      <c r="B34" s="310">
        <f>B31+B33</f>
        <v>0</v>
      </c>
      <c r="C34" s="310">
        <f t="shared" ref="C34:G34" si="0">C31+C33</f>
        <v>0</v>
      </c>
      <c r="D34" s="310">
        <f t="shared" si="0"/>
        <v>0</v>
      </c>
      <c r="E34" s="310">
        <f t="shared" si="0"/>
        <v>0</v>
      </c>
      <c r="F34" s="310">
        <f t="shared" si="0"/>
        <v>0</v>
      </c>
      <c r="G34" s="310">
        <f t="shared" si="0"/>
        <v>0</v>
      </c>
    </row>
    <row r="35" spans="1:7" ht="17.100000000000001" hidden="1" customHeight="1">
      <c r="A35" s="300" t="s">
        <v>208</v>
      </c>
      <c r="B35" s="326">
        <f t="shared" ref="B35:G35" si="1">IF(B21=0,0,1/(1/B21+B34))</f>
        <v>2</v>
      </c>
      <c r="C35" s="326">
        <f t="shared" si="1"/>
        <v>0</v>
      </c>
      <c r="D35" s="326">
        <f t="shared" si="1"/>
        <v>2</v>
      </c>
      <c r="E35" s="326">
        <f t="shared" si="1"/>
        <v>2</v>
      </c>
      <c r="F35" s="326">
        <f t="shared" si="1"/>
        <v>2</v>
      </c>
      <c r="G35" s="339">
        <f t="shared" si="1"/>
        <v>0</v>
      </c>
    </row>
    <row r="36" spans="1:7" ht="16.5" hidden="1" customHeight="1">
      <c r="A36" s="300" t="s">
        <v>647</v>
      </c>
      <c r="B36" s="326">
        <f>INDEX(Products!$H$2:$H$128,B30)</f>
        <v>0</v>
      </c>
      <c r="C36" s="326">
        <f>INDEX(Products!$H$2:$H$128,C30)</f>
        <v>0</v>
      </c>
      <c r="D36" s="326">
        <f>INDEX(Products!$H$2:$H$128,D30)</f>
        <v>0</v>
      </c>
      <c r="E36" s="326">
        <f>INDEX(Products!$H$2:$H$128,E30)</f>
        <v>0</v>
      </c>
      <c r="F36" s="326">
        <f>INDEX(Products!$H$2:$H$128,F30)</f>
        <v>0</v>
      </c>
      <c r="G36" s="326">
        <f>INDEX(Products!$H$2:$H$128,G30)</f>
        <v>0</v>
      </c>
    </row>
    <row r="37" spans="1:7" ht="17.100000000000001" hidden="1" customHeight="1">
      <c r="A37" s="300" t="s">
        <v>648</v>
      </c>
      <c r="B37" s="326">
        <f>INDEX(Products!$H$2:$H$128,B32)</f>
        <v>0</v>
      </c>
      <c r="C37" s="326">
        <f>INDEX(Products!$H$2:$H$128,C32)</f>
        <v>0</v>
      </c>
      <c r="D37" s="326">
        <f>INDEX(Products!$H$2:$H$128,D32)</f>
        <v>0</v>
      </c>
      <c r="E37" s="326">
        <f>INDEX(Products!$H$2:$H$128,E32)</f>
        <v>0</v>
      </c>
      <c r="F37" s="326">
        <f>INDEX(Products!$H$2:$H$128,F32)</f>
        <v>0</v>
      </c>
      <c r="G37" s="326">
        <f>INDEX(Products!$H$2:$H$128,G32)</f>
        <v>0</v>
      </c>
    </row>
    <row r="38" spans="1:7" ht="17.100000000000001" customHeight="1">
      <c r="A38" s="300" t="s">
        <v>780</v>
      </c>
      <c r="B38" s="301">
        <v>1</v>
      </c>
      <c r="C38" s="301">
        <v>1</v>
      </c>
      <c r="D38" s="301">
        <v>1</v>
      </c>
      <c r="E38" s="301">
        <v>1</v>
      </c>
      <c r="F38" s="301">
        <v>1</v>
      </c>
      <c r="G38" s="518">
        <v>1</v>
      </c>
    </row>
    <row r="39" spans="1:7" ht="17.100000000000001" hidden="1" customHeight="1">
      <c r="A39" s="300" t="s">
        <v>649</v>
      </c>
      <c r="B39" s="326">
        <f>INDEX(Costs!$B$2:$B$33,B38)</f>
        <v>0</v>
      </c>
      <c r="C39" s="326">
        <f>INDEX(Costs!$B$2:$B$33,C38)</f>
        <v>0</v>
      </c>
      <c r="D39" s="326">
        <f>INDEX(Costs!$B$2:$B$33,D38)</f>
        <v>0</v>
      </c>
      <c r="E39" s="326">
        <f>INDEX(Costs!$B$2:$B$33,E38)</f>
        <v>0</v>
      </c>
      <c r="F39" s="326">
        <f>INDEX(Costs!$B$2:$B$33,F38)</f>
        <v>0</v>
      </c>
      <c r="G39" s="326">
        <f>INDEX(Costs!$B$2:$B$33,G38)</f>
        <v>0</v>
      </c>
    </row>
    <row r="40" spans="1:7" ht="17.100000000000001" hidden="1" customHeight="1">
      <c r="A40" s="300" t="s">
        <v>646</v>
      </c>
      <c r="B40" s="326">
        <f>B39+B37+B36</f>
        <v>0</v>
      </c>
      <c r="C40" s="326">
        <f t="shared" ref="C40:G40" si="2">C39+C37+C36</f>
        <v>0</v>
      </c>
      <c r="D40" s="326">
        <f t="shared" si="2"/>
        <v>0</v>
      </c>
      <c r="E40" s="326">
        <f t="shared" si="2"/>
        <v>0</v>
      </c>
      <c r="F40" s="326">
        <f t="shared" si="2"/>
        <v>0</v>
      </c>
      <c r="G40" s="326">
        <f t="shared" si="2"/>
        <v>0</v>
      </c>
    </row>
    <row r="41" spans="1:7" ht="17.100000000000001" hidden="1" customHeight="1">
      <c r="A41" s="300" t="s">
        <v>440</v>
      </c>
      <c r="B41" s="326">
        <f t="shared" ref="B41:G41" si="3">B17*(1-B18)*B40</f>
        <v>0</v>
      </c>
      <c r="C41" s="326">
        <f t="shared" si="3"/>
        <v>0</v>
      </c>
      <c r="D41" s="326">
        <f t="shared" si="3"/>
        <v>0</v>
      </c>
      <c r="E41" s="326">
        <f t="shared" si="3"/>
        <v>0</v>
      </c>
      <c r="F41" s="326">
        <f t="shared" si="3"/>
        <v>0</v>
      </c>
      <c r="G41" s="339">
        <f t="shared" si="3"/>
        <v>0</v>
      </c>
    </row>
    <row r="42" spans="1:7" ht="17.100000000000001" customHeight="1">
      <c r="A42" s="300" t="s">
        <v>774</v>
      </c>
      <c r="B42" s="301">
        <v>1</v>
      </c>
      <c r="C42" s="301">
        <v>1</v>
      </c>
      <c r="D42" s="301">
        <v>1</v>
      </c>
      <c r="E42" s="301">
        <v>1</v>
      </c>
      <c r="F42" s="301">
        <v>1</v>
      </c>
      <c r="G42" s="340">
        <v>1</v>
      </c>
    </row>
    <row r="43" spans="1:7" ht="16.5" hidden="1" customHeight="1">
      <c r="A43" s="300" t="s">
        <v>209</v>
      </c>
      <c r="B43" s="326">
        <f>IF(B42=1,B23,INDEX('Default data'!$B$71:$B$87,B42))</f>
        <v>3.01</v>
      </c>
      <c r="C43" s="326">
        <f>IF(C42=1,C23,INDEX('Default data'!$B$71:$B$87,C42))</f>
        <v>0</v>
      </c>
      <c r="D43" s="326">
        <f>IF(D42=1,D23,INDEX('Default data'!$B$71:$B$87,D42))</f>
        <v>3.01</v>
      </c>
      <c r="E43" s="326">
        <f>IF(E42=1,E23,INDEX('Default data'!$B$71:$B$87,E42))</f>
        <v>3.01</v>
      </c>
      <c r="F43" s="326">
        <f>IF(F42=1,F23,INDEX('Default data'!$B$71:$B$87,F42))</f>
        <v>3.01</v>
      </c>
      <c r="G43" s="339">
        <f>IF(G42=1,G23,INDEX('Default data'!$B$71:$B$87,G42))</f>
        <v>0</v>
      </c>
    </row>
    <row r="44" spans="1:7" ht="17.100000000000001" hidden="1" customHeight="1">
      <c r="A44" s="300" t="s">
        <v>210</v>
      </c>
      <c r="B44" s="326">
        <f>IF(B42=1,B24,INDEX('Default data'!$C$71:$C$87,B42))</f>
        <v>0.61</v>
      </c>
      <c r="C44" s="326">
        <f>IF(C42=1,C24,INDEX('Default data'!$C$71:$C$87,C42))</f>
        <v>0</v>
      </c>
      <c r="D44" s="326">
        <f>IF(D42=1,D24,INDEX('Default data'!$C$71:$C$87,D42))</f>
        <v>0.61</v>
      </c>
      <c r="E44" s="326">
        <f>IF(E42=1,E24,INDEX('Default data'!$C$71:$C$87,E42))</f>
        <v>0.61</v>
      </c>
      <c r="F44" s="326">
        <f>IF(F42=1,F24,INDEX('Default data'!$C$71:$C$87,F42))</f>
        <v>0.61</v>
      </c>
      <c r="G44" s="339">
        <f>IF(G42=1,G24,INDEX('Default data'!$C$71:$C$87,G42))</f>
        <v>0</v>
      </c>
    </row>
    <row r="45" spans="1:7" ht="17.100000000000001" customHeight="1">
      <c r="A45" s="300" t="s">
        <v>781</v>
      </c>
      <c r="B45" s="301">
        <v>1</v>
      </c>
      <c r="C45" s="301">
        <v>1</v>
      </c>
      <c r="D45" s="301">
        <v>1</v>
      </c>
      <c r="E45" s="301">
        <v>1</v>
      </c>
      <c r="F45" s="301">
        <v>1</v>
      </c>
      <c r="G45" s="340">
        <v>1</v>
      </c>
    </row>
    <row r="46" spans="1:7" ht="17.100000000000001" hidden="1" customHeight="1">
      <c r="A46" s="300" t="s">
        <v>439</v>
      </c>
      <c r="B46" s="326">
        <f>INDEX(Costs!$N$2:$N$23,B45)</f>
        <v>0</v>
      </c>
      <c r="C46" s="326">
        <f>INDEX(Costs!$N$2:$N$23,C45)</f>
        <v>0</v>
      </c>
      <c r="D46" s="326">
        <f>INDEX(Costs!$N$2:$N$23,D45)</f>
        <v>0</v>
      </c>
      <c r="E46" s="326">
        <f>INDEX(Costs!$N$2:$N$23,E45)</f>
        <v>0</v>
      </c>
      <c r="F46" s="326">
        <f>INDEX(Costs!$N$2:$N$23,F45)</f>
        <v>0</v>
      </c>
      <c r="G46" s="326">
        <f>INDEX(Costs!$N$2:$N$23,G45)</f>
        <v>0</v>
      </c>
    </row>
    <row r="47" spans="1:7" ht="17.100000000000001" hidden="1" customHeight="1">
      <c r="A47" s="300" t="s">
        <v>440</v>
      </c>
      <c r="B47" s="326">
        <f t="shared" ref="B47:G47" si="4">B17*B18*B46</f>
        <v>0</v>
      </c>
      <c r="C47" s="326">
        <f t="shared" si="4"/>
        <v>0</v>
      </c>
      <c r="D47" s="326">
        <f t="shared" si="4"/>
        <v>0</v>
      </c>
      <c r="E47" s="326">
        <f t="shared" si="4"/>
        <v>0</v>
      </c>
      <c r="F47" s="326">
        <f t="shared" si="4"/>
        <v>0</v>
      </c>
      <c r="G47" s="339">
        <f t="shared" si="4"/>
        <v>0</v>
      </c>
    </row>
    <row r="48" spans="1:7" ht="17.100000000000001" customHeight="1">
      <c r="A48" s="300" t="s">
        <v>775</v>
      </c>
      <c r="B48" s="286">
        <v>1</v>
      </c>
      <c r="C48" s="286">
        <v>1</v>
      </c>
      <c r="D48" s="286">
        <v>1</v>
      </c>
      <c r="E48" s="286">
        <v>1</v>
      </c>
      <c r="F48" s="286">
        <v>1</v>
      </c>
      <c r="G48" s="341">
        <v>1</v>
      </c>
    </row>
    <row r="49" spans="1:8" ht="17.100000000000001" hidden="1" customHeight="1">
      <c r="A49" s="302" t="s">
        <v>217</v>
      </c>
      <c r="B49" s="309">
        <f>IF(B48=1,B26,INDEX('Default data'!$B$90:$B$94,B48))</f>
        <v>0.7</v>
      </c>
      <c r="C49" s="309">
        <f>IF(C48=1,C26,INDEX('Default data'!$B$90:$B$94,C48))</f>
        <v>1</v>
      </c>
      <c r="D49" s="309">
        <f>IF(D48=1,D26,INDEX('Default data'!$B$90:$B$94,D48))</f>
        <v>0.7</v>
      </c>
      <c r="E49" s="309">
        <f>IF(E48=1,E26,INDEX('Default data'!$B$90:$B$94,E48))</f>
        <v>0.7</v>
      </c>
      <c r="F49" s="309">
        <f>IF(F48=1,F26,INDEX('Default data'!$B$90:$B$94,F48))</f>
        <v>0.7</v>
      </c>
      <c r="G49" s="342">
        <f>IF(G48=1,G26,INDEX('Default data'!$B$90:$B$94,G48))</f>
        <v>1</v>
      </c>
    </row>
    <row r="50" spans="1:8" s="223" customFormat="1" ht="17.100000000000001" customHeight="1" thickBot="1">
      <c r="A50" s="300" t="s">
        <v>776</v>
      </c>
      <c r="B50" s="682">
        <v>1</v>
      </c>
      <c r="C50" s="682">
        <v>1</v>
      </c>
      <c r="D50" s="682">
        <v>1</v>
      </c>
      <c r="E50" s="682">
        <v>1</v>
      </c>
      <c r="F50" s="682">
        <v>1</v>
      </c>
      <c r="G50" s="683">
        <v>1</v>
      </c>
      <c r="H50" s="627"/>
    </row>
    <row r="51" spans="1:8" ht="17.100000000000001" hidden="1" customHeight="1">
      <c r="A51" s="300" t="s">
        <v>268</v>
      </c>
      <c r="B51" s="312">
        <f>IF(B50=1,B28,INDEX('Default data'!$B$27:$B$33,B50))</f>
        <v>1.3</v>
      </c>
      <c r="C51" s="312">
        <f>IF(C50=1,C28,INDEX('Default data'!$B$27:$B$33,C50))</f>
        <v>1</v>
      </c>
      <c r="D51" s="312">
        <f>IF(D50=1,D28,INDEX('Default data'!$B$27:$B$33,D50))</f>
        <v>1.3</v>
      </c>
      <c r="E51" s="312">
        <f>IF(E50=1,E28,INDEX('Default data'!$B$27:$B$33,E50))</f>
        <v>1.3</v>
      </c>
      <c r="F51" s="312">
        <f>IF(F50=1,F28,INDEX('Default data'!$B$27:$B$33,F50))</f>
        <v>1.3</v>
      </c>
      <c r="G51" s="320">
        <f>IF(G50=1,G28,INDEX('Default data'!$B$27:$B$33,G50))</f>
        <v>1</v>
      </c>
    </row>
    <row r="52" spans="1:8" ht="17.100000000000001" customHeight="1" thickBot="1">
      <c r="A52" s="311"/>
      <c r="B52" s="312"/>
      <c r="C52" s="312"/>
      <c r="D52" s="312"/>
      <c r="E52" s="312"/>
      <c r="F52" s="312"/>
      <c r="G52" s="320"/>
    </row>
    <row r="53" spans="1:8" ht="17.100000000000001" customHeight="1">
      <c r="A53" s="331"/>
      <c r="B53" s="688" t="str">
        <f>TranslationInterface!E46</f>
        <v>Cubierta</v>
      </c>
      <c r="C53" s="548" t="str">
        <f>TranslationInterface!E47</f>
        <v>Solera</v>
      </c>
      <c r="D53" s="332" t="str">
        <f>TranslationInterface!E48</f>
        <v>Paredes sin radiación solar ( suelos, sin exposición solar)</v>
      </c>
      <c r="E53" s="333"/>
      <c r="F53" s="333"/>
      <c r="G53" s="334"/>
    </row>
    <row r="54" spans="1:8" ht="17.100000000000001" customHeight="1">
      <c r="A54" s="287" t="str">
        <f>TranslationInterface!E32</f>
        <v>Área total (m2)</v>
      </c>
      <c r="B54" s="292">
        <v>335.5</v>
      </c>
      <c r="C54" s="292">
        <v>335</v>
      </c>
      <c r="D54" s="292"/>
      <c r="E54" s="279"/>
      <c r="F54" s="279"/>
      <c r="G54" s="277"/>
    </row>
    <row r="55" spans="1:8" ht="17.100000000000001" customHeight="1">
      <c r="A55" s="287" t="str">
        <f>TranslationInterface!E33</f>
        <v>Porcentaje de huecos (0 a 1)</v>
      </c>
      <c r="B55" s="292">
        <v>0</v>
      </c>
      <c r="C55" s="303" t="s">
        <v>211</v>
      </c>
      <c r="D55" s="292"/>
      <c r="E55" s="279"/>
      <c r="F55" s="279"/>
      <c r="G55" s="277"/>
    </row>
    <row r="56" spans="1:8" ht="17.100000000000001" customHeight="1">
      <c r="A56" s="741" t="str">
        <f>TranslationInterface!E23</f>
        <v>Caso Inicial</v>
      </c>
      <c r="B56" s="742"/>
      <c r="C56" s="742"/>
      <c r="D56" s="742"/>
      <c r="E56" s="304"/>
      <c r="F56" s="304"/>
      <c r="G56" s="305"/>
    </row>
    <row r="57" spans="1:8" ht="17.100000000000001" customHeight="1">
      <c r="A57" s="296" t="str">
        <f>TranslationInterface!E34</f>
        <v>Aislamiento parte opaca paredes</v>
      </c>
      <c r="B57" s="328">
        <v>2</v>
      </c>
      <c r="C57" s="328">
        <v>2</v>
      </c>
      <c r="D57" s="328">
        <v>1</v>
      </c>
      <c r="E57" s="304"/>
      <c r="F57" s="304"/>
      <c r="G57" s="305"/>
    </row>
    <row r="58" spans="1:8" ht="17.100000000000001" hidden="1" customHeight="1">
      <c r="A58" s="297" t="s">
        <v>208</v>
      </c>
      <c r="B58" s="324">
        <f>INDEX('Default data'!$B$44:$B$52,B57)</f>
        <v>2</v>
      </c>
      <c r="C58" s="324">
        <f>INDEX('Default data'!$B$44:$B$52,C57)</f>
        <v>2</v>
      </c>
      <c r="D58" s="324">
        <f>INDEX('Default data'!$B$44:$B$52,D57)</f>
        <v>0</v>
      </c>
      <c r="E58" s="304"/>
      <c r="F58" s="304"/>
      <c r="G58" s="305"/>
    </row>
    <row r="59" spans="1:8" ht="17.100000000000001" customHeight="1">
      <c r="A59" s="297" t="str">
        <f>TranslationInterface!E35</f>
        <v>Huecos y carpintería</v>
      </c>
      <c r="B59" s="636">
        <v>1</v>
      </c>
      <c r="C59" s="327" t="s">
        <v>211</v>
      </c>
      <c r="D59" s="275">
        <v>1</v>
      </c>
      <c r="E59" s="304"/>
      <c r="F59" s="304"/>
      <c r="G59" s="305"/>
    </row>
    <row r="60" spans="1:8" ht="17.100000000000001" hidden="1" customHeight="1">
      <c r="A60" s="297" t="s">
        <v>209</v>
      </c>
      <c r="B60" s="324">
        <f>INDEX('Default data'!$B$71:$B$87,B59)</f>
        <v>0</v>
      </c>
      <c r="C60" s="313" t="s">
        <v>211</v>
      </c>
      <c r="D60" s="324">
        <f>INDEX('Default data'!$B$71:$B$87,D59)</f>
        <v>0</v>
      </c>
      <c r="E60" s="304"/>
      <c r="F60" s="304"/>
      <c r="G60" s="305"/>
    </row>
    <row r="61" spans="1:8" ht="17.100000000000001" hidden="1" customHeight="1">
      <c r="A61" s="297" t="s">
        <v>210</v>
      </c>
      <c r="B61" s="324">
        <f>INDEX('Default data'!$C$71:$C$87,B59)</f>
        <v>0</v>
      </c>
      <c r="C61" s="314" t="s">
        <v>211</v>
      </c>
      <c r="D61" s="324">
        <f>INDEX('Default data'!$C$71:$C$87,D59)</f>
        <v>0</v>
      </c>
      <c r="E61" s="304"/>
      <c r="F61" s="304"/>
      <c r="G61" s="305"/>
    </row>
    <row r="62" spans="1:8" ht="17.100000000000001" customHeight="1">
      <c r="A62" s="297" t="str">
        <f>TranslationInterface!E36</f>
        <v>Protección solar verano</v>
      </c>
      <c r="B62" s="285">
        <v>1</v>
      </c>
      <c r="C62" s="314"/>
      <c r="D62" s="285">
        <v>1</v>
      </c>
      <c r="E62" s="304"/>
      <c r="F62" s="304"/>
      <c r="G62" s="305"/>
    </row>
    <row r="63" spans="1:8" ht="17.100000000000001" hidden="1" customHeight="1">
      <c r="A63" s="274" t="s">
        <v>217</v>
      </c>
      <c r="B63" s="323">
        <f>INDEX('Default data'!B90:B94,B62)</f>
        <v>1</v>
      </c>
      <c r="C63" s="314" t="s">
        <v>211</v>
      </c>
      <c r="D63" s="323">
        <f>INDEX('Default data'!B90:B94,D62)</f>
        <v>1</v>
      </c>
      <c r="E63" s="304"/>
      <c r="F63" s="304"/>
      <c r="G63" s="305"/>
    </row>
    <row r="64" spans="1:8" ht="17.100000000000001" customHeight="1">
      <c r="A64" s="297" t="str">
        <f>TranslationInterface!E37</f>
        <v>Factor corrector puentes térmicos</v>
      </c>
      <c r="B64" s="306">
        <v>2</v>
      </c>
      <c r="C64" s="315"/>
      <c r="D64" s="306">
        <v>1</v>
      </c>
      <c r="E64" s="304"/>
      <c r="F64" s="304"/>
      <c r="G64" s="305"/>
    </row>
    <row r="65" spans="1:7" ht="17.100000000000001" hidden="1" customHeight="1">
      <c r="A65" s="297"/>
      <c r="B65" s="316">
        <f>INDEX('Default data'!$B$27:$B$33,B64)</f>
        <v>1</v>
      </c>
      <c r="C65" s="315"/>
      <c r="D65" s="316">
        <f>INDEX('Default data'!$B$27:$B$33,D64)</f>
        <v>1</v>
      </c>
      <c r="E65" s="304"/>
      <c r="F65" s="304"/>
      <c r="G65" s="305"/>
    </row>
    <row r="66" spans="1:7" ht="17.100000000000001" customHeight="1">
      <c r="A66" s="765" t="str">
        <f>TranslationInterface!E24</f>
        <v>Caso Final</v>
      </c>
      <c r="B66" s="766"/>
      <c r="C66" s="766"/>
      <c r="D66" s="766"/>
      <c r="E66" s="307"/>
      <c r="F66" s="307"/>
      <c r="G66" s="308"/>
    </row>
    <row r="67" spans="1:7" ht="17.100000000000001" customHeight="1">
      <c r="A67" s="299" t="str">
        <f>TranslationInterface!E38</f>
        <v>1ª capa aislamiento</v>
      </c>
      <c r="B67" s="330">
        <v>1</v>
      </c>
      <c r="C67" s="330">
        <v>1</v>
      </c>
      <c r="D67" s="330">
        <v>1</v>
      </c>
      <c r="E67" s="307"/>
      <c r="F67" s="307"/>
      <c r="G67" s="308"/>
    </row>
    <row r="68" spans="1:7" ht="17.100000000000001" hidden="1" customHeight="1">
      <c r="A68" s="299" t="s">
        <v>532</v>
      </c>
      <c r="B68" s="309">
        <f>INDEX(Products!$D$2:$D$128,B67)</f>
        <v>0</v>
      </c>
      <c r="C68" s="309">
        <f>INDEX(Products!$D$2:$D$128,C67)</f>
        <v>0</v>
      </c>
      <c r="D68" s="309">
        <f>INDEX(Products!$D$2:$D$128,D67)</f>
        <v>0</v>
      </c>
      <c r="E68" s="307"/>
      <c r="F68" s="307"/>
      <c r="G68" s="308"/>
    </row>
    <row r="69" spans="1:7" ht="17.100000000000001" customHeight="1">
      <c r="A69" s="299" t="str">
        <f>TranslationInterface!E39</f>
        <v>2ª capa aislamiento</v>
      </c>
      <c r="B69" s="280">
        <v>1</v>
      </c>
      <c r="C69" s="280">
        <v>1</v>
      </c>
      <c r="D69" s="280">
        <v>1</v>
      </c>
      <c r="E69" s="307"/>
      <c r="F69" s="307"/>
      <c r="G69" s="308"/>
    </row>
    <row r="70" spans="1:7" ht="17.100000000000001" hidden="1" customHeight="1">
      <c r="A70" s="299" t="s">
        <v>533</v>
      </c>
      <c r="B70" s="309">
        <f>INDEX(Products!$D$2:$D$128,B69)</f>
        <v>0</v>
      </c>
      <c r="C70" s="309">
        <f>INDEX(Products!$D$2:$D$128,C69)</f>
        <v>0</v>
      </c>
      <c r="D70" s="309">
        <f>INDEX(Products!$D$2:$D$128,D69)</f>
        <v>0</v>
      </c>
      <c r="E70" s="307"/>
      <c r="F70" s="307"/>
      <c r="G70" s="308"/>
    </row>
    <row r="71" spans="1:7" ht="17.100000000000001" hidden="1" customHeight="1">
      <c r="A71" s="299" t="s">
        <v>246</v>
      </c>
      <c r="B71" s="310">
        <f>B68+B70</f>
        <v>0</v>
      </c>
      <c r="C71" s="310">
        <f t="shared" ref="C71:D71" si="5">C68+C70</f>
        <v>0</v>
      </c>
      <c r="D71" s="310">
        <f t="shared" si="5"/>
        <v>0</v>
      </c>
      <c r="E71" s="307"/>
      <c r="F71" s="307"/>
      <c r="G71" s="308"/>
    </row>
    <row r="72" spans="1:7" ht="17.100000000000001" hidden="1" customHeight="1">
      <c r="A72" s="300" t="s">
        <v>208</v>
      </c>
      <c r="B72" s="326">
        <f>IF(B58=0,0,1/(1/B58+B71))</f>
        <v>2</v>
      </c>
      <c r="C72" s="326">
        <f>IF(C58=0,0,1/(1/C58+C71))</f>
        <v>2</v>
      </c>
      <c r="D72" s="326">
        <f>IF(D58=0,0,1/(1/D58+D71))</f>
        <v>0</v>
      </c>
      <c r="E72" s="307"/>
      <c r="F72" s="307"/>
      <c r="G72" s="308"/>
    </row>
    <row r="73" spans="1:7" ht="17.100000000000001" hidden="1" customHeight="1">
      <c r="A73" s="300" t="s">
        <v>647</v>
      </c>
      <c r="B73" s="326">
        <f>INDEX(Products!$H$2:$H$128,B67)</f>
        <v>0</v>
      </c>
      <c r="C73" s="326">
        <f>INDEX(Products!$H$2:$H$128,C67)</f>
        <v>0</v>
      </c>
      <c r="D73" s="326">
        <f>INDEX(Products!$H$2:$H$128,D67)</f>
        <v>0</v>
      </c>
      <c r="E73" s="307"/>
      <c r="F73" s="307"/>
      <c r="G73" s="308"/>
    </row>
    <row r="74" spans="1:7" ht="17.100000000000001" hidden="1" customHeight="1">
      <c r="A74" s="300" t="s">
        <v>648</v>
      </c>
      <c r="B74" s="326">
        <f>INDEX(Products!$H$2:$H$128,B69)</f>
        <v>0</v>
      </c>
      <c r="C74" s="326">
        <f>INDEX(Products!$H$2:$H$128,C69)</f>
        <v>0</v>
      </c>
      <c r="D74" s="326">
        <f>INDEX(Products!$H$2:$H$128,D69)</f>
        <v>0</v>
      </c>
      <c r="E74" s="307"/>
      <c r="F74" s="307"/>
      <c r="G74" s="308"/>
    </row>
    <row r="75" spans="1:7" ht="17.100000000000001" customHeight="1">
      <c r="A75" s="300" t="str">
        <f>TranslationInterface!E40</f>
        <v>Tipo de intervención (solo para costes)</v>
      </c>
      <c r="B75" s="301">
        <v>1</v>
      </c>
      <c r="C75" s="301">
        <v>1</v>
      </c>
      <c r="D75" s="301">
        <v>1</v>
      </c>
      <c r="E75" s="307"/>
      <c r="F75" s="307"/>
      <c r="G75" s="308"/>
    </row>
    <row r="76" spans="1:7" ht="17.100000000000001" hidden="1" customHeight="1">
      <c r="A76" s="300" t="s">
        <v>649</v>
      </c>
      <c r="B76" s="326">
        <f>INDEX(Costs!E2:E24,B75)</f>
        <v>0</v>
      </c>
      <c r="C76" s="326">
        <f>INDEX(Costs!H2:H24,C75)</f>
        <v>0</v>
      </c>
      <c r="D76" s="326">
        <f>INDEX(Costs!K2:K45,D75)</f>
        <v>0</v>
      </c>
      <c r="E76" s="307"/>
      <c r="F76" s="307"/>
      <c r="G76" s="308"/>
    </row>
    <row r="77" spans="1:7" ht="17.100000000000001" hidden="1" customHeight="1">
      <c r="A77" s="300" t="s">
        <v>650</v>
      </c>
      <c r="B77" s="326">
        <f>B73+B74+B76</f>
        <v>0</v>
      </c>
      <c r="C77" s="326">
        <f>C73+C74+C76</f>
        <v>0</v>
      </c>
      <c r="D77" s="326">
        <f>D73+D74+D76</f>
        <v>0</v>
      </c>
      <c r="E77" s="307"/>
      <c r="F77" s="307"/>
      <c r="G77" s="308"/>
    </row>
    <row r="78" spans="1:7" ht="17.100000000000001" hidden="1" customHeight="1">
      <c r="A78" s="300" t="s">
        <v>440</v>
      </c>
      <c r="B78" s="326">
        <f>B54*(1-B55)*B77</f>
        <v>0</v>
      </c>
      <c r="C78" s="326">
        <f>C54*C77</f>
        <v>0</v>
      </c>
      <c r="D78" s="326">
        <f>D54*(1-D55)*D77</f>
        <v>0</v>
      </c>
      <c r="E78" s="307"/>
      <c r="F78" s="307"/>
      <c r="G78" s="308"/>
    </row>
    <row r="79" spans="1:7" ht="17.100000000000001" customHeight="1">
      <c r="A79" s="300" t="str">
        <f>TranslationInterface!E41</f>
        <v>Huecos y carpintería</v>
      </c>
      <c r="B79" s="518">
        <v>1</v>
      </c>
      <c r="C79" s="520"/>
      <c r="D79" s="301">
        <v>1</v>
      </c>
      <c r="E79" s="307"/>
      <c r="F79" s="307"/>
      <c r="G79" s="308"/>
    </row>
    <row r="80" spans="1:7" ht="17.100000000000001" hidden="1" customHeight="1">
      <c r="A80" s="300" t="s">
        <v>209</v>
      </c>
      <c r="B80" s="326">
        <f>IF(B79=1,B60,INDEX('Default data'!$B$71:$B$87,B79))</f>
        <v>0</v>
      </c>
      <c r="C80" s="521"/>
      <c r="D80" s="326">
        <f>IF(D79=1,D60,INDEX('Default data'!$B$71:$B$87,D79))</f>
        <v>0</v>
      </c>
      <c r="E80" s="307"/>
      <c r="F80" s="307"/>
      <c r="G80" s="308"/>
    </row>
    <row r="81" spans="1:7" ht="17.100000000000001" hidden="1" customHeight="1">
      <c r="A81" s="300" t="s">
        <v>210</v>
      </c>
      <c r="B81" s="326">
        <f>IF(B79=1,B61,INDEX('Default data'!$C$71:$C$87,B79))</f>
        <v>0</v>
      </c>
      <c r="C81" s="522"/>
      <c r="D81" s="669" t="s">
        <v>211</v>
      </c>
      <c r="E81" s="307"/>
      <c r="F81" s="307"/>
      <c r="G81" s="308"/>
    </row>
    <row r="82" spans="1:7" ht="17.100000000000001" customHeight="1">
      <c r="A82" s="300" t="str">
        <f>TranslationInterface!E42</f>
        <v>Tipo de hueco (solo para costes)</v>
      </c>
      <c r="B82" s="301">
        <v>1</v>
      </c>
      <c r="C82" s="522"/>
      <c r="D82" s="680">
        <v>1</v>
      </c>
      <c r="E82" s="307"/>
      <c r="F82" s="307"/>
      <c r="G82" s="308"/>
    </row>
    <row r="83" spans="1:7" ht="17.100000000000001" hidden="1" customHeight="1">
      <c r="A83" s="300" t="s">
        <v>439</v>
      </c>
      <c r="B83" s="326">
        <f>INDEX(Costs!$N$2:$N$23,B82)</f>
        <v>0</v>
      </c>
      <c r="C83" s="522"/>
      <c r="D83" s="326">
        <f>INDEX(Costs!$N$2:$N$23,D82)</f>
        <v>0</v>
      </c>
      <c r="E83" s="307"/>
      <c r="F83" s="307"/>
      <c r="G83" s="308"/>
    </row>
    <row r="84" spans="1:7" ht="17.100000000000001" hidden="1" customHeight="1">
      <c r="A84" s="300" t="s">
        <v>440</v>
      </c>
      <c r="B84" s="326">
        <f>B54*(B55)*B83</f>
        <v>0</v>
      </c>
      <c r="C84" s="522"/>
      <c r="D84" s="519">
        <f>D54*(D55)*D83</f>
        <v>0</v>
      </c>
      <c r="E84" s="307"/>
      <c r="F84" s="307"/>
      <c r="G84" s="308"/>
    </row>
    <row r="85" spans="1:7" ht="17.100000000000001" customHeight="1">
      <c r="A85" s="300" t="str">
        <f>TranslationInterface!E43</f>
        <v>Protección solar verano</v>
      </c>
      <c r="B85" s="286">
        <v>1</v>
      </c>
      <c r="C85" s="522"/>
      <c r="D85" s="522"/>
      <c r="E85" s="307"/>
      <c r="F85" s="307"/>
      <c r="G85" s="308"/>
    </row>
    <row r="86" spans="1:7" ht="17.100000000000001" hidden="1" customHeight="1">
      <c r="A86" s="302" t="s">
        <v>217</v>
      </c>
      <c r="B86" s="670">
        <f>IF(B85=1,B63,INDEX('Default data'!B90:B94,B85))</f>
        <v>1</v>
      </c>
      <c r="C86" s="522"/>
      <c r="D86" s="671" t="s">
        <v>211</v>
      </c>
      <c r="E86" s="307"/>
      <c r="F86" s="307"/>
      <c r="G86" s="308"/>
    </row>
    <row r="87" spans="1:7" ht="17.100000000000001" customHeight="1">
      <c r="A87" s="300" t="str">
        <f>TranslationInterface!E44</f>
        <v>Factor corrector puentes térmicos</v>
      </c>
      <c r="B87" s="306">
        <v>1</v>
      </c>
      <c r="C87" s="521"/>
      <c r="D87" s="286">
        <v>1</v>
      </c>
      <c r="E87" s="307"/>
      <c r="F87" s="307"/>
      <c r="G87" s="308"/>
    </row>
    <row r="88" spans="1:7" ht="17.100000000000001" hidden="1" customHeight="1">
      <c r="A88" s="311"/>
      <c r="B88" s="312">
        <f>IF(B87=1,B65,INDEX('Default data'!$B$27:$B$33,B87))</f>
        <v>1</v>
      </c>
      <c r="C88" s="312"/>
      <c r="D88" s="312">
        <f>IF(D87=1,D65,INDEX('Default data'!$B$27:$B$33,D87))</f>
        <v>1</v>
      </c>
      <c r="E88" s="307"/>
      <c r="F88" s="307"/>
      <c r="G88" s="308"/>
    </row>
    <row r="89" spans="1:7" ht="17.100000000000001" customHeight="1" thickBot="1">
      <c r="A89" s="633"/>
      <c r="B89" s="634"/>
      <c r="C89" s="634"/>
      <c r="D89" s="634"/>
      <c r="E89" s="335"/>
      <c r="F89" s="335"/>
      <c r="G89" s="336"/>
    </row>
    <row r="90" spans="1:7" ht="17.100000000000001" customHeight="1">
      <c r="A90" s="774" t="str">
        <f>TranslationInterface!E49</f>
        <v>Paredes no expuestas al exterior</v>
      </c>
      <c r="B90" s="775"/>
      <c r="C90" s="775"/>
      <c r="D90" s="775"/>
      <c r="E90" s="775"/>
      <c r="F90" s="775"/>
      <c r="G90" s="776"/>
    </row>
    <row r="91" spans="1:7" ht="17.100000000000001" customHeight="1">
      <c r="A91" s="287" t="str">
        <f>TranslationInterface!E45</f>
        <v>Identificación</v>
      </c>
      <c r="B91" s="343" t="s">
        <v>796</v>
      </c>
      <c r="C91" s="343" t="s">
        <v>822</v>
      </c>
      <c r="D91" s="343" t="s">
        <v>823</v>
      </c>
      <c r="E91" s="343" t="s">
        <v>824</v>
      </c>
      <c r="F91" s="279"/>
      <c r="G91" s="277"/>
    </row>
    <row r="92" spans="1:7" ht="17.100000000000001" customHeight="1">
      <c r="A92" s="287" t="str">
        <f>TranslationInterface!E32</f>
        <v>Área total (m2)</v>
      </c>
      <c r="B92" s="292">
        <v>335.4</v>
      </c>
      <c r="C92" s="292"/>
      <c r="D92" s="292"/>
      <c r="E92" s="292"/>
      <c r="F92" s="279"/>
      <c r="G92" s="277"/>
    </row>
    <row r="93" spans="1:7" ht="17.100000000000001" customHeight="1">
      <c r="A93" s="287" t="str">
        <f>TranslationInterface!E33</f>
        <v>Porcentaje de huecos (0 a 1)</v>
      </c>
      <c r="B93" s="294">
        <v>0</v>
      </c>
      <c r="C93" s="294"/>
      <c r="D93" s="294"/>
      <c r="E93" s="294"/>
      <c r="F93" s="279"/>
      <c r="G93" s="277"/>
    </row>
    <row r="94" spans="1:7" ht="17.100000000000001" customHeight="1">
      <c r="A94" s="287" t="s">
        <v>212</v>
      </c>
      <c r="B94" s="344"/>
      <c r="C94" s="344"/>
      <c r="D94" s="344"/>
      <c r="E94" s="344"/>
      <c r="F94" s="279"/>
      <c r="G94" s="277"/>
    </row>
    <row r="95" spans="1:7" ht="17.100000000000001" customHeight="1">
      <c r="A95" s="741" t="str">
        <f>TranslationInterface!E23</f>
        <v>Caso Inicial</v>
      </c>
      <c r="B95" s="742"/>
      <c r="C95" s="742"/>
      <c r="D95" s="742"/>
      <c r="E95" s="742"/>
      <c r="F95" s="304"/>
      <c r="G95" s="305"/>
    </row>
    <row r="96" spans="1:7" ht="17.100000000000001" customHeight="1">
      <c r="A96" s="296" t="str">
        <f>TranslationInterface!E34</f>
        <v>Aislamiento parte opaca paredes</v>
      </c>
      <c r="B96" s="328">
        <v>2</v>
      </c>
      <c r="C96" s="328">
        <v>1</v>
      </c>
      <c r="D96" s="328">
        <v>1</v>
      </c>
      <c r="E96" s="328">
        <v>1</v>
      </c>
      <c r="F96" s="304"/>
      <c r="G96" s="305"/>
    </row>
    <row r="97" spans="1:7" ht="17.100000000000001" hidden="1" customHeight="1">
      <c r="A97" s="297" t="s">
        <v>208</v>
      </c>
      <c r="B97" s="324">
        <f>INDEX('Default data'!$B$44:$B$52,B96)</f>
        <v>2</v>
      </c>
      <c r="C97" s="324">
        <f>INDEX('Default data'!$B$44:$B$52,C96)</f>
        <v>0</v>
      </c>
      <c r="D97" s="324">
        <f>INDEX('Default data'!$B$44:$B$52,D96)</f>
        <v>0</v>
      </c>
      <c r="E97" s="324">
        <f>INDEX('Default data'!$B$44:$B$52,E96)</f>
        <v>0</v>
      </c>
      <c r="F97" s="304"/>
      <c r="G97" s="305"/>
    </row>
    <row r="98" spans="1:7" ht="17.100000000000001" customHeight="1">
      <c r="A98" s="297" t="str">
        <f>TranslationInterface!E35</f>
        <v>Huecos y carpintería</v>
      </c>
      <c r="B98" s="275">
        <v>1</v>
      </c>
      <c r="C98" s="275">
        <v>1</v>
      </c>
      <c r="D98" s="275">
        <v>1</v>
      </c>
      <c r="E98" s="275">
        <v>1</v>
      </c>
      <c r="F98" s="304"/>
      <c r="G98" s="305"/>
    </row>
    <row r="99" spans="1:7" ht="17.100000000000001" hidden="1" customHeight="1">
      <c r="A99" s="297" t="s">
        <v>209</v>
      </c>
      <c r="B99" s="324">
        <f>INDEX('Default data'!$B$71:$B$87,B98)</f>
        <v>0</v>
      </c>
      <c r="C99" s="324">
        <f>INDEX('Default data'!$B$71:$B$87,C98)</f>
        <v>0</v>
      </c>
      <c r="D99" s="324">
        <f>INDEX('Default data'!$B$71:$B$87,D98)</f>
        <v>0</v>
      </c>
      <c r="E99" s="324">
        <f>INDEX('Default data'!$B$71:$B$87,E98)</f>
        <v>0</v>
      </c>
      <c r="F99" s="304"/>
      <c r="G99" s="305"/>
    </row>
    <row r="100" spans="1:7" ht="17.100000000000001" customHeight="1">
      <c r="A100" s="765" t="str">
        <f>TranslationInterface!E24</f>
        <v>Caso Final</v>
      </c>
      <c r="B100" s="766"/>
      <c r="C100" s="766"/>
      <c r="D100" s="766"/>
      <c r="E100" s="766"/>
      <c r="F100" s="307"/>
      <c r="G100" s="308"/>
    </row>
    <row r="101" spans="1:7" ht="17.100000000000001" customHeight="1">
      <c r="A101" s="299" t="str">
        <f>TranslationInterface!E38</f>
        <v>1ª capa aislamiento</v>
      </c>
      <c r="B101" s="280">
        <v>1</v>
      </c>
      <c r="C101" s="280">
        <v>1</v>
      </c>
      <c r="D101" s="280">
        <v>1</v>
      </c>
      <c r="E101" s="280">
        <v>1</v>
      </c>
      <c r="F101" s="307"/>
      <c r="G101" s="308"/>
    </row>
    <row r="102" spans="1:7" ht="17.100000000000001" hidden="1" customHeight="1">
      <c r="A102" s="299" t="s">
        <v>532</v>
      </c>
      <c r="B102" s="280">
        <f>INDEX(Products!$D$2:$D$128,B101)</f>
        <v>0</v>
      </c>
      <c r="C102" s="280">
        <f>INDEX(Products!$D$2:$D$128,C101)</f>
        <v>0</v>
      </c>
      <c r="D102" s="280">
        <f>INDEX(Products!$D$2:$D$128,D101)</f>
        <v>0</v>
      </c>
      <c r="E102" s="280">
        <f>INDEX(Products!$D$2:$D$128,E101)</f>
        <v>0</v>
      </c>
      <c r="F102" s="307"/>
      <c r="G102" s="308"/>
    </row>
    <row r="103" spans="1:7" ht="17.100000000000001" customHeight="1">
      <c r="A103" s="299" t="str">
        <f>TranslationInterface!E39</f>
        <v>2ª capa aislamiento</v>
      </c>
      <c r="B103" s="280">
        <v>1</v>
      </c>
      <c r="C103" s="280">
        <v>1</v>
      </c>
      <c r="D103" s="280">
        <v>1</v>
      </c>
      <c r="E103" s="280">
        <v>1</v>
      </c>
      <c r="F103" s="307"/>
      <c r="G103" s="308"/>
    </row>
    <row r="104" spans="1:7" ht="17.100000000000001" hidden="1" customHeight="1">
      <c r="A104" s="299" t="s">
        <v>533</v>
      </c>
      <c r="B104" s="280">
        <f>INDEX(Products!$D$2:$D$128,B103)</f>
        <v>0</v>
      </c>
      <c r="C104" s="280">
        <f>INDEX(Products!$D$2:$D$128,C103)</f>
        <v>0</v>
      </c>
      <c r="D104" s="280">
        <f>INDEX(Products!$D$2:$D$128,D103)</f>
        <v>0</v>
      </c>
      <c r="E104" s="280">
        <f>INDEX(Products!$D$2:$D$128,E103)</f>
        <v>0</v>
      </c>
      <c r="F104" s="307"/>
      <c r="G104" s="308"/>
    </row>
    <row r="105" spans="1:7" ht="17.100000000000001" hidden="1" customHeight="1">
      <c r="A105" s="299" t="s">
        <v>246</v>
      </c>
      <c r="B105" s="310">
        <f>B104+B102</f>
        <v>0</v>
      </c>
      <c r="C105" s="310">
        <f t="shared" ref="C105:E105" si="6">C104+C102</f>
        <v>0</v>
      </c>
      <c r="D105" s="310">
        <f t="shared" si="6"/>
        <v>0</v>
      </c>
      <c r="E105" s="310">
        <f t="shared" si="6"/>
        <v>0</v>
      </c>
      <c r="F105" s="307"/>
      <c r="G105" s="308"/>
    </row>
    <row r="106" spans="1:7" ht="17.100000000000001" hidden="1" customHeight="1">
      <c r="A106" s="300" t="s">
        <v>208</v>
      </c>
      <c r="B106" s="326">
        <f>IF(B97=0,0,1/(1/B97+B105))</f>
        <v>2</v>
      </c>
      <c r="C106" s="326">
        <f>IF(C97=0,0,1/(1/C97+C105))</f>
        <v>0</v>
      </c>
      <c r="D106" s="326">
        <f>IF(D97=0,0,1/(1/D97+D105))</f>
        <v>0</v>
      </c>
      <c r="E106" s="326">
        <f>IF(E97=0,0,1/(1/E97+E105))</f>
        <v>0</v>
      </c>
      <c r="F106" s="307"/>
      <c r="G106" s="308"/>
    </row>
    <row r="107" spans="1:7" ht="17.100000000000001" hidden="1" customHeight="1">
      <c r="A107" s="300" t="s">
        <v>647</v>
      </c>
      <c r="B107" s="326">
        <f>INDEX(Products!$H$2:$H$127,B101)</f>
        <v>0</v>
      </c>
      <c r="C107" s="326">
        <f>INDEX(Products!$H$2:$H$127,C101)</f>
        <v>0</v>
      </c>
      <c r="D107" s="326">
        <f>INDEX(Products!$H$2:$H$127,D101)</f>
        <v>0</v>
      </c>
      <c r="E107" s="326">
        <f>INDEX(Products!$H$2:$H$127,E101)</f>
        <v>0</v>
      </c>
      <c r="F107" s="307"/>
      <c r="G107" s="308"/>
    </row>
    <row r="108" spans="1:7" ht="17.100000000000001" hidden="1" customHeight="1">
      <c r="A108" s="300" t="s">
        <v>648</v>
      </c>
      <c r="B108" s="326">
        <f>INDEX(Products!$H$2:$H$127,B103)</f>
        <v>0</v>
      </c>
      <c r="C108" s="326">
        <f>INDEX(Products!$H$2:$H$127,C103)</f>
        <v>0</v>
      </c>
      <c r="D108" s="326">
        <f>INDEX(Products!$H$2:$H$127,D103)</f>
        <v>0</v>
      </c>
      <c r="E108" s="326">
        <f>INDEX(Products!$H$2:$H$127,E103)</f>
        <v>0</v>
      </c>
      <c r="F108" s="307"/>
      <c r="G108" s="308"/>
    </row>
    <row r="109" spans="1:7" ht="17.100000000000001" customHeight="1">
      <c r="A109" s="300" t="str">
        <f>TranslationInterface!E40</f>
        <v>Tipo de intervención (solo para costes)</v>
      </c>
      <c r="B109" s="301">
        <v>1</v>
      </c>
      <c r="C109" s="301">
        <v>1</v>
      </c>
      <c r="D109" s="301">
        <v>1</v>
      </c>
      <c r="E109" s="301">
        <v>1</v>
      </c>
      <c r="F109" s="307"/>
      <c r="G109" s="308"/>
    </row>
    <row r="110" spans="1:7" ht="16.5" hidden="1" customHeight="1">
      <c r="A110" s="300" t="s">
        <v>649</v>
      </c>
      <c r="B110" s="301">
        <f>INDEX(Costs!$K$2:$K$45,B109)</f>
        <v>0</v>
      </c>
      <c r="C110" s="301">
        <f>INDEX(Costs!$K$2:$K$45,C109)</f>
        <v>0</v>
      </c>
      <c r="D110" s="301">
        <f>INDEX(Costs!$K$2:$K$45,D109)</f>
        <v>0</v>
      </c>
      <c r="E110" s="301">
        <f>INDEX(Costs!$K$2:$K$45,E109)</f>
        <v>0</v>
      </c>
      <c r="F110" s="307"/>
      <c r="G110" s="308"/>
    </row>
    <row r="111" spans="1:7" ht="17.100000000000001" hidden="1" customHeight="1">
      <c r="A111" s="300" t="s">
        <v>439</v>
      </c>
      <c r="B111" s="301">
        <f>B107+B108+B110</f>
        <v>0</v>
      </c>
      <c r="C111" s="301">
        <f>C107+C108+C110</f>
        <v>0</v>
      </c>
      <c r="D111" s="301">
        <f>D107+D108+D110</f>
        <v>0</v>
      </c>
      <c r="E111" s="301">
        <f>E107+E108+E110</f>
        <v>0</v>
      </c>
      <c r="F111" s="307"/>
      <c r="G111" s="308"/>
    </row>
    <row r="112" spans="1:7" ht="17.100000000000001" hidden="1" customHeight="1">
      <c r="A112" s="300" t="s">
        <v>440</v>
      </c>
      <c r="B112" s="326">
        <f>B92*(1-B93)*B111</f>
        <v>0</v>
      </c>
      <c r="C112" s="326">
        <f>C92*(1-C93)*C111</f>
        <v>0</v>
      </c>
      <c r="D112" s="326">
        <f>D92*(1-D93)*D111</f>
        <v>0</v>
      </c>
      <c r="E112" s="326">
        <f>E92*(1-E93)*E111</f>
        <v>0</v>
      </c>
      <c r="F112" s="307"/>
      <c r="G112" s="308"/>
    </row>
    <row r="113" spans="1:7" ht="17.100000000000001" customHeight="1">
      <c r="A113" s="300" t="str">
        <f>TranslationInterface!E41</f>
        <v>Huecos y carpintería</v>
      </c>
      <c r="B113" s="301">
        <v>1</v>
      </c>
      <c r="C113" s="301">
        <v>1</v>
      </c>
      <c r="D113" s="301">
        <v>1</v>
      </c>
      <c r="E113" s="301">
        <v>1</v>
      </c>
      <c r="F113" s="307"/>
      <c r="G113" s="308"/>
    </row>
    <row r="114" spans="1:7" ht="17.100000000000001" hidden="1" customHeight="1">
      <c r="A114" s="300" t="s">
        <v>209</v>
      </c>
      <c r="B114" s="326">
        <f>IF(B113=1,B99,INDEX('Default data'!$B$71:$B$87,B113))</f>
        <v>0</v>
      </c>
      <c r="C114" s="326">
        <f>IF(C113=1,C99,INDEX('Default data'!$B$71:$B$87,C113))</f>
        <v>0</v>
      </c>
      <c r="D114" s="326">
        <f>IF(D113=1,D99,INDEX('Default data'!$B$71:$B$87,D113))</f>
        <v>0</v>
      </c>
      <c r="E114" s="326">
        <f>IF(E113=1,E99,INDEX('Default data'!$B$71:$B$87,E113))</f>
        <v>0</v>
      </c>
      <c r="F114" s="307"/>
      <c r="G114" s="308"/>
    </row>
    <row r="115" spans="1:7" ht="17.100000000000001" customHeight="1">
      <c r="A115" s="300" t="str">
        <f>TranslationInterface!E42</f>
        <v>Tipo de hueco (solo para costes)</v>
      </c>
      <c r="B115" s="681">
        <v>1</v>
      </c>
      <c r="C115" s="681">
        <v>1</v>
      </c>
      <c r="D115" s="681">
        <v>1</v>
      </c>
      <c r="E115" s="681">
        <v>1</v>
      </c>
      <c r="F115" s="307"/>
      <c r="G115" s="308"/>
    </row>
    <row r="116" spans="1:7" ht="17.100000000000001" hidden="1" customHeight="1">
      <c r="A116" s="300" t="s">
        <v>439</v>
      </c>
      <c r="B116" s="326">
        <f>INDEX(Costs!$N$2:$N$23,B115)</f>
        <v>0</v>
      </c>
      <c r="C116" s="326">
        <f>INDEX(Costs!$N$2:$N$23,C115)</f>
        <v>0</v>
      </c>
      <c r="D116" s="326">
        <f>INDEX(Costs!$N$2:$N$23,D115)</f>
        <v>0</v>
      </c>
      <c r="E116" s="326">
        <f>INDEX(Costs!$N$2:$N$23,E115)</f>
        <v>0</v>
      </c>
      <c r="F116" s="307"/>
      <c r="G116" s="308"/>
    </row>
    <row r="117" spans="1:7" ht="17.100000000000001" hidden="1" customHeight="1">
      <c r="A117" s="300" t="s">
        <v>440</v>
      </c>
      <c r="B117" s="326">
        <f>B92*B93*B116</f>
        <v>0</v>
      </c>
      <c r="C117" s="326">
        <f>C92*C93*C116</f>
        <v>0</v>
      </c>
      <c r="D117" s="326">
        <f>D92*D93*D116</f>
        <v>0</v>
      </c>
      <c r="E117" s="326">
        <f>E92*E93*E116</f>
        <v>0</v>
      </c>
      <c r="F117" s="307"/>
      <c r="G117" s="308"/>
    </row>
    <row r="118" spans="1:7" ht="17.100000000000001" hidden="1" customHeight="1">
      <c r="A118" s="300" t="s">
        <v>212</v>
      </c>
      <c r="B118" s="648">
        <v>4</v>
      </c>
      <c r="C118" s="648">
        <v>6</v>
      </c>
      <c r="D118" s="648">
        <v>6</v>
      </c>
      <c r="E118" s="648">
        <v>6</v>
      </c>
      <c r="F118" s="307"/>
      <c r="G118" s="308"/>
    </row>
    <row r="119" spans="1:7" ht="17.100000000000001" hidden="1" customHeight="1">
      <c r="A119" s="311"/>
      <c r="B119" s="638">
        <f>INDEX('Default data'!$B$36:$B$41,B118)</f>
        <v>0.2</v>
      </c>
      <c r="C119" s="638">
        <f>INDEX('Default data'!$B$36:$B$41,C118)</f>
        <v>1</v>
      </c>
      <c r="D119" s="638">
        <f>INDEX('Default data'!$B$36:$B$41,D118)</f>
        <v>1</v>
      </c>
      <c r="E119" s="638">
        <f>INDEX('Default data'!$B$36:$B$41,E118)</f>
        <v>1</v>
      </c>
      <c r="F119" s="307"/>
      <c r="G119" s="308"/>
    </row>
    <row r="120" spans="1:7" ht="17.100000000000001" customHeight="1" thickBot="1">
      <c r="A120" s="633"/>
      <c r="B120" s="335"/>
      <c r="C120" s="335"/>
      <c r="D120" s="335"/>
      <c r="E120" s="335"/>
      <c r="F120" s="335"/>
      <c r="G120" s="637" t="s">
        <v>214</v>
      </c>
    </row>
    <row r="121" spans="1:7">
      <c r="A121" s="223"/>
    </row>
    <row r="138" spans="9:18" hidden="1"/>
    <row r="139" spans="9:18" ht="19.5" customHeight="1">
      <c r="K139" s="1" t="s">
        <v>1283</v>
      </c>
      <c r="L139" s="1" t="s">
        <v>1296</v>
      </c>
      <c r="M139" s="1" t="s">
        <v>1284</v>
      </c>
      <c r="N139" s="1" t="s">
        <v>1286</v>
      </c>
      <c r="O139" s="1" t="s">
        <v>1288</v>
      </c>
      <c r="P139" s="1" t="s">
        <v>1289</v>
      </c>
      <c r="Q139" s="1" t="s">
        <v>1290</v>
      </c>
      <c r="R139" s="1" t="s">
        <v>1294</v>
      </c>
    </row>
    <row r="140" spans="9:18">
      <c r="K140" s="223" t="s">
        <v>364</v>
      </c>
      <c r="L140" s="223" t="s">
        <v>365</v>
      </c>
      <c r="M140" s="1" t="s">
        <v>366</v>
      </c>
      <c r="N140" s="1" t="s">
        <v>367</v>
      </c>
      <c r="O140" s="1" t="s">
        <v>368</v>
      </c>
      <c r="P140" s="1" t="s">
        <v>369</v>
      </c>
      <c r="Q140" s="223" t="s">
        <v>370</v>
      </c>
      <c r="R140" s="223" t="s">
        <v>371</v>
      </c>
    </row>
    <row r="141" spans="9:18">
      <c r="K141" s="1" t="s">
        <v>1297</v>
      </c>
      <c r="L141" s="1" t="s">
        <v>1282</v>
      </c>
      <c r="M141" s="1" t="s">
        <v>1285</v>
      </c>
      <c r="N141" s="1" t="s">
        <v>1287</v>
      </c>
      <c r="O141" s="1" t="s">
        <v>1291</v>
      </c>
      <c r="P141" s="1" t="s">
        <v>1292</v>
      </c>
      <c r="Q141" s="1" t="s">
        <v>1293</v>
      </c>
      <c r="R141" s="1" t="s">
        <v>1295</v>
      </c>
    </row>
    <row r="142" spans="9:18">
      <c r="I142" s="223" t="s">
        <v>362</v>
      </c>
    </row>
    <row r="143" spans="9:18">
      <c r="K143" s="223" t="str">
        <f>INDEX(K139:K141,$G$4)</f>
        <v>Zona templada</v>
      </c>
      <c r="L143" s="223" t="str">
        <f t="shared" ref="L143:R143" si="7">INDEX(L139:L141,$G$4)</f>
        <v>Zona fría</v>
      </c>
      <c r="M143" s="223" t="str">
        <f t="shared" si="7"/>
        <v>Temp. Distribución 35ºC</v>
      </c>
      <c r="N143" s="223" t="str">
        <f t="shared" si="7"/>
        <v>Temp. Distribución 40ºC</v>
      </c>
      <c r="O143" s="223" t="str">
        <f t="shared" si="7"/>
        <v>Temp. Distribución 45ºC</v>
      </c>
      <c r="P143" s="223" t="str">
        <f t="shared" si="7"/>
        <v>Temp. Distribución 50ºC</v>
      </c>
      <c r="Q143" s="223" t="str">
        <f t="shared" si="7"/>
        <v>Temp. Distribución 55ºC</v>
      </c>
      <c r="R143" s="223" t="str">
        <f t="shared" si="7"/>
        <v>Cualquier Temperatura</v>
      </c>
    </row>
    <row r="144" spans="9:18">
      <c r="J144" s="105" t="s">
        <v>372</v>
      </c>
      <c r="K144" s="105">
        <v>1</v>
      </c>
      <c r="L144" s="105">
        <v>2</v>
      </c>
      <c r="M144" s="105">
        <v>1</v>
      </c>
      <c r="N144" s="105">
        <v>2</v>
      </c>
      <c r="O144" s="105">
        <v>3</v>
      </c>
      <c r="P144" s="105">
        <v>4</v>
      </c>
      <c r="Q144" s="105">
        <v>5</v>
      </c>
      <c r="R144" s="105">
        <v>6</v>
      </c>
    </row>
    <row r="145" spans="9:21">
      <c r="I145" s="487" t="str">
        <f>INDEX(S145:U145,$G$4)</f>
        <v>Caldera calefacción combustión estándar</v>
      </c>
      <c r="J145" s="105">
        <v>1</v>
      </c>
      <c r="K145" s="466">
        <v>0.97</v>
      </c>
      <c r="L145" s="466">
        <v>0.97</v>
      </c>
      <c r="M145" s="465">
        <v>1</v>
      </c>
      <c r="N145" s="465">
        <v>1</v>
      </c>
      <c r="O145" s="465">
        <v>1</v>
      </c>
      <c r="P145" s="465">
        <v>1</v>
      </c>
      <c r="Q145" s="465">
        <v>1</v>
      </c>
      <c r="R145" s="465">
        <v>1</v>
      </c>
      <c r="S145" s="1" t="s">
        <v>375</v>
      </c>
      <c r="T145" s="487" t="s">
        <v>374</v>
      </c>
      <c r="U145" s="223" t="s">
        <v>1298</v>
      </c>
    </row>
    <row r="146" spans="9:21">
      <c r="I146" s="487" t="str">
        <f t="shared" ref="I146:I160" si="8">INDEX(S146:U146,$G$4)</f>
        <v>Caldera calefacción combustión baja temperatura</v>
      </c>
      <c r="J146" s="105">
        <v>2</v>
      </c>
      <c r="K146" s="466">
        <v>1</v>
      </c>
      <c r="L146" s="466">
        <v>1</v>
      </c>
      <c r="M146" s="465">
        <v>1</v>
      </c>
      <c r="N146" s="465">
        <v>1</v>
      </c>
      <c r="O146" s="465">
        <v>1</v>
      </c>
      <c r="P146" s="465">
        <v>1</v>
      </c>
      <c r="Q146" s="465">
        <v>1</v>
      </c>
      <c r="R146" s="465">
        <v>1</v>
      </c>
      <c r="S146" s="1" t="s">
        <v>377</v>
      </c>
      <c r="T146" s="487" t="s">
        <v>376</v>
      </c>
      <c r="U146" s="223" t="s">
        <v>1299</v>
      </c>
    </row>
    <row r="147" spans="9:21">
      <c r="I147" s="487" t="str">
        <f t="shared" si="8"/>
        <v>Caldera calefacción combustión de condensación</v>
      </c>
      <c r="J147" s="105">
        <v>3</v>
      </c>
      <c r="K147" s="466">
        <v>1.08</v>
      </c>
      <c r="L147" s="466">
        <v>1.08</v>
      </c>
      <c r="M147" s="465">
        <v>1</v>
      </c>
      <c r="N147" s="465">
        <v>1</v>
      </c>
      <c r="O147" s="465">
        <v>1</v>
      </c>
      <c r="P147" s="465">
        <v>1</v>
      </c>
      <c r="Q147" s="465">
        <v>1</v>
      </c>
      <c r="R147" s="465">
        <v>1</v>
      </c>
      <c r="S147" s="1" t="s">
        <v>378</v>
      </c>
      <c r="T147" s="487" t="s">
        <v>373</v>
      </c>
      <c r="U147" s="223" t="s">
        <v>1300</v>
      </c>
    </row>
    <row r="148" spans="9:21">
      <c r="I148" s="487" t="str">
        <f t="shared" si="8"/>
        <v>Caldera calefacción combustión de biomasa</v>
      </c>
      <c r="J148" s="105">
        <v>4</v>
      </c>
      <c r="K148" s="466">
        <v>0.74</v>
      </c>
      <c r="L148" s="466">
        <v>0.74</v>
      </c>
      <c r="M148" s="465">
        <v>1</v>
      </c>
      <c r="N148" s="465">
        <v>1</v>
      </c>
      <c r="O148" s="465">
        <v>1</v>
      </c>
      <c r="P148" s="465">
        <v>1</v>
      </c>
      <c r="Q148" s="465">
        <v>1</v>
      </c>
      <c r="R148" s="465">
        <v>1</v>
      </c>
      <c r="S148" s="1" t="s">
        <v>381</v>
      </c>
      <c r="T148" s="487" t="s">
        <v>380</v>
      </c>
      <c r="U148" s="223" t="s">
        <v>1301</v>
      </c>
    </row>
    <row r="149" spans="9:21">
      <c r="I149" s="487" t="str">
        <f t="shared" si="8"/>
        <v>Caldera calefacción combustión de biomasa UNE-EN 303-5:1999</v>
      </c>
      <c r="J149" s="105">
        <v>5</v>
      </c>
      <c r="K149" s="466">
        <v>0.95</v>
      </c>
      <c r="L149" s="466">
        <v>0.95</v>
      </c>
      <c r="M149" s="465">
        <v>1</v>
      </c>
      <c r="N149" s="465">
        <v>1</v>
      </c>
      <c r="O149" s="465">
        <v>1</v>
      </c>
      <c r="P149" s="465">
        <v>1</v>
      </c>
      <c r="Q149" s="465">
        <v>1</v>
      </c>
      <c r="R149" s="465">
        <v>1</v>
      </c>
      <c r="S149" s="1" t="s">
        <v>383</v>
      </c>
      <c r="T149" s="487" t="s">
        <v>382</v>
      </c>
      <c r="U149" s="223" t="s">
        <v>1302</v>
      </c>
    </row>
    <row r="150" spans="9:21">
      <c r="I150" s="487" t="str">
        <f t="shared" si="8"/>
        <v>Caldera mixta combustión estándar</v>
      </c>
      <c r="J150" s="105">
        <v>6</v>
      </c>
      <c r="K150" s="466">
        <v>0.98</v>
      </c>
      <c r="L150" s="466">
        <v>0.98</v>
      </c>
      <c r="M150" s="465">
        <v>1</v>
      </c>
      <c r="N150" s="465">
        <v>1</v>
      </c>
      <c r="O150" s="465">
        <v>1</v>
      </c>
      <c r="P150" s="465">
        <v>1</v>
      </c>
      <c r="Q150" s="465">
        <v>1</v>
      </c>
      <c r="R150" s="465">
        <v>1</v>
      </c>
      <c r="S150" s="1" t="s">
        <v>385</v>
      </c>
      <c r="T150" s="487" t="s">
        <v>384</v>
      </c>
      <c r="U150" s="223" t="s">
        <v>1303</v>
      </c>
    </row>
    <row r="151" spans="9:21">
      <c r="I151" s="487" t="str">
        <f t="shared" si="8"/>
        <v>Caldera mixta combustión baja temperatura</v>
      </c>
      <c r="J151" s="105">
        <v>7</v>
      </c>
      <c r="K151" s="466">
        <v>1</v>
      </c>
      <c r="L151" s="466">
        <v>1</v>
      </c>
      <c r="M151" s="465">
        <v>1</v>
      </c>
      <c r="N151" s="465">
        <v>1</v>
      </c>
      <c r="O151" s="465">
        <v>1</v>
      </c>
      <c r="P151" s="465">
        <v>1</v>
      </c>
      <c r="Q151" s="465">
        <v>1</v>
      </c>
      <c r="R151" s="465">
        <v>1</v>
      </c>
      <c r="S151" s="1" t="s">
        <v>387</v>
      </c>
      <c r="T151" s="487" t="s">
        <v>386</v>
      </c>
      <c r="U151" s="223" t="s">
        <v>1304</v>
      </c>
    </row>
    <row r="152" spans="9:21">
      <c r="I152" s="487" t="str">
        <f t="shared" si="8"/>
        <v>Caldera mixta combustión de condensación</v>
      </c>
      <c r="J152" s="105">
        <v>8</v>
      </c>
      <c r="K152" s="466">
        <v>1.06</v>
      </c>
      <c r="L152" s="466">
        <v>1.06</v>
      </c>
      <c r="M152" s="465">
        <v>1</v>
      </c>
      <c r="N152" s="465">
        <v>1</v>
      </c>
      <c r="O152" s="465">
        <v>1</v>
      </c>
      <c r="P152" s="465">
        <v>1</v>
      </c>
      <c r="Q152" s="465">
        <v>1</v>
      </c>
      <c r="R152" s="465">
        <v>1</v>
      </c>
      <c r="S152" s="1" t="s">
        <v>389</v>
      </c>
      <c r="T152" s="487" t="s">
        <v>388</v>
      </c>
      <c r="U152" s="223" t="s">
        <v>1305</v>
      </c>
    </row>
    <row r="153" spans="9:21">
      <c r="I153" s="487" t="str">
        <f t="shared" si="8"/>
        <v>Caldera mixta combustión de biomasa</v>
      </c>
      <c r="J153" s="105">
        <v>9</v>
      </c>
      <c r="K153" s="466">
        <v>0.76</v>
      </c>
      <c r="L153" s="466">
        <v>0.76</v>
      </c>
      <c r="M153" s="465">
        <v>1</v>
      </c>
      <c r="N153" s="465">
        <v>1</v>
      </c>
      <c r="O153" s="465">
        <v>1</v>
      </c>
      <c r="P153" s="465">
        <v>1</v>
      </c>
      <c r="Q153" s="465">
        <v>1</v>
      </c>
      <c r="R153" s="465">
        <v>1</v>
      </c>
      <c r="S153" s="1" t="s">
        <v>392</v>
      </c>
      <c r="T153" s="487" t="s">
        <v>391</v>
      </c>
      <c r="U153" s="223" t="s">
        <v>1306</v>
      </c>
    </row>
    <row r="154" spans="9:21">
      <c r="I154" s="487" t="str">
        <f t="shared" si="8"/>
        <v>Caldera mixta combustión de biomasa UNE-EN 303-5:1999</v>
      </c>
      <c r="J154" s="105">
        <v>10</v>
      </c>
      <c r="K154" s="466">
        <v>0.95</v>
      </c>
      <c r="L154" s="466">
        <v>0.95</v>
      </c>
      <c r="M154" s="465">
        <v>1</v>
      </c>
      <c r="N154" s="465">
        <v>1</v>
      </c>
      <c r="O154" s="465">
        <v>1</v>
      </c>
      <c r="P154" s="465">
        <v>1</v>
      </c>
      <c r="Q154" s="465">
        <v>1</v>
      </c>
      <c r="R154" s="465">
        <v>1</v>
      </c>
      <c r="S154" s="1" t="s">
        <v>394</v>
      </c>
      <c r="T154" s="487" t="s">
        <v>393</v>
      </c>
      <c r="U154" s="223" t="s">
        <v>1307</v>
      </c>
    </row>
    <row r="155" spans="9:21">
      <c r="I155" s="487" t="str">
        <f t="shared" si="8"/>
        <v>BdC Equipos centralizados (viviendas unifamiliares)</v>
      </c>
      <c r="J155" s="105">
        <v>11</v>
      </c>
      <c r="K155" s="466">
        <v>0.79</v>
      </c>
      <c r="L155" s="466">
        <v>0.68</v>
      </c>
      <c r="M155" s="465">
        <v>1</v>
      </c>
      <c r="N155" s="465">
        <v>1</v>
      </c>
      <c r="O155" s="465">
        <v>1</v>
      </c>
      <c r="P155" s="465">
        <v>1</v>
      </c>
      <c r="Q155" s="465">
        <v>1</v>
      </c>
      <c r="R155" s="465">
        <v>1</v>
      </c>
      <c r="S155" s="1" t="s">
        <v>396</v>
      </c>
      <c r="T155" s="487" t="s">
        <v>395</v>
      </c>
      <c r="U155" s="223" t="s">
        <v>1308</v>
      </c>
    </row>
    <row r="156" spans="9:21">
      <c r="I156" s="487" t="str">
        <f t="shared" si="8"/>
        <v xml:space="preserve">BdC Equipos centralizados (viviendas en bloque) </v>
      </c>
      <c r="J156" s="105">
        <v>12</v>
      </c>
      <c r="K156" s="466">
        <v>0.79</v>
      </c>
      <c r="L156" s="466">
        <v>0.68</v>
      </c>
      <c r="M156" s="465">
        <v>1</v>
      </c>
      <c r="N156" s="465">
        <v>1</v>
      </c>
      <c r="O156" s="465">
        <v>1</v>
      </c>
      <c r="P156" s="465">
        <v>1</v>
      </c>
      <c r="Q156" s="465">
        <v>1</v>
      </c>
      <c r="R156" s="465">
        <v>1</v>
      </c>
      <c r="S156" s="1" t="s">
        <v>399</v>
      </c>
      <c r="T156" s="487" t="s">
        <v>398</v>
      </c>
      <c r="U156" s="223" t="s">
        <v>1309</v>
      </c>
    </row>
    <row r="157" spans="9:21">
      <c r="I157" s="487" t="str">
        <f t="shared" si="8"/>
        <v>BdC tipo split (viviendas individuales y viviendas en bloque)</v>
      </c>
      <c r="J157" s="105">
        <v>13</v>
      </c>
      <c r="K157" s="466">
        <v>0.6</v>
      </c>
      <c r="L157" s="466">
        <v>0.57999999999999996</v>
      </c>
      <c r="M157" s="465">
        <v>1</v>
      </c>
      <c r="N157" s="465">
        <v>1</v>
      </c>
      <c r="O157" s="465">
        <v>1</v>
      </c>
      <c r="P157" s="465">
        <v>1</v>
      </c>
      <c r="Q157" s="465">
        <v>1</v>
      </c>
      <c r="R157" s="465">
        <v>1</v>
      </c>
      <c r="S157" s="1" t="s">
        <v>400</v>
      </c>
      <c r="T157" s="487" t="s">
        <v>397</v>
      </c>
      <c r="U157" s="223" t="s">
        <v>1310</v>
      </c>
    </row>
    <row r="158" spans="9:21">
      <c r="I158" s="487" t="str">
        <f t="shared" si="8"/>
        <v>BdC geotérmicas con intercambiadores verticales (viviendas unifamiliares)</v>
      </c>
      <c r="J158" s="105">
        <v>14</v>
      </c>
      <c r="K158" s="466">
        <v>1.127</v>
      </c>
      <c r="L158" s="466">
        <v>0.95099999999999996</v>
      </c>
      <c r="M158" s="465">
        <v>1</v>
      </c>
      <c r="N158" s="465">
        <v>0.86799999999999999</v>
      </c>
      <c r="O158" s="465">
        <v>0.76500000000000001</v>
      </c>
      <c r="P158" s="465">
        <v>0.67700000000000005</v>
      </c>
      <c r="Q158" s="465">
        <v>0.60599999999999998</v>
      </c>
      <c r="R158" s="465">
        <v>0.60599999999999998</v>
      </c>
      <c r="S158" s="1" t="s">
        <v>402</v>
      </c>
      <c r="T158" s="487" t="s">
        <v>401</v>
      </c>
      <c r="U158" s="223" t="s">
        <v>1311</v>
      </c>
    </row>
    <row r="159" spans="9:21">
      <c r="I159" s="487" t="str">
        <f t="shared" si="8"/>
        <v>BdC geotérmicas con intercambiadores verticales (viviendas en bloque)</v>
      </c>
      <c r="J159" s="105">
        <v>15</v>
      </c>
      <c r="K159" s="466">
        <v>1.131</v>
      </c>
      <c r="L159" s="466">
        <v>0.93700000000000006</v>
      </c>
      <c r="M159" s="465">
        <v>1</v>
      </c>
      <c r="N159" s="465">
        <v>0.86799999999999999</v>
      </c>
      <c r="O159" s="465">
        <v>0.76500000000000001</v>
      </c>
      <c r="P159" s="465">
        <v>0.67700000000000005</v>
      </c>
      <c r="Q159" s="465">
        <v>0.60599999999999998</v>
      </c>
      <c r="R159" s="465">
        <v>0.60599999999999998</v>
      </c>
      <c r="S159" s="1" t="s">
        <v>405</v>
      </c>
      <c r="T159" s="487" t="s">
        <v>404</v>
      </c>
      <c r="U159" s="223" t="s">
        <v>1312</v>
      </c>
    </row>
    <row r="160" spans="9:21">
      <c r="I160" s="487" t="str">
        <f t="shared" si="8"/>
        <v>BdC geotérmicas con intercambiadores horizontales (viviendas unifamiliares)</v>
      </c>
      <c r="J160" s="105">
        <v>16</v>
      </c>
      <c r="K160" s="466">
        <v>0.94899999999999995</v>
      </c>
      <c r="L160" s="466">
        <v>0.76600000000000001</v>
      </c>
      <c r="M160" s="465">
        <v>1</v>
      </c>
      <c r="N160" s="465">
        <v>0.86799999999999999</v>
      </c>
      <c r="O160" s="465">
        <v>0.76500000000000001</v>
      </c>
      <c r="P160" s="465">
        <v>0.67700000000000005</v>
      </c>
      <c r="Q160" s="465">
        <v>0.60599999999999998</v>
      </c>
      <c r="R160" s="465">
        <v>0.60599999999999998</v>
      </c>
      <c r="S160" s="1" t="s">
        <v>406</v>
      </c>
      <c r="T160" s="487" t="s">
        <v>846</v>
      </c>
      <c r="U160" s="223" t="s">
        <v>1313</v>
      </c>
    </row>
    <row r="162" spans="1:21">
      <c r="I162" s="223" t="s">
        <v>390</v>
      </c>
      <c r="M162" s="1" t="s">
        <v>407</v>
      </c>
      <c r="N162" s="1" t="s">
        <v>408</v>
      </c>
      <c r="O162" s="1" t="s">
        <v>409</v>
      </c>
      <c r="P162" s="223" t="s">
        <v>371</v>
      </c>
    </row>
    <row r="163" spans="1:21">
      <c r="K163" s="223" t="str">
        <f>K143</f>
        <v>Zona templada</v>
      </c>
      <c r="L163" s="223" t="str">
        <f>L143</f>
        <v>Zona fría</v>
      </c>
      <c r="M163" s="1" t="str">
        <f>INDEX(S194:U194,$G$4)</f>
        <v>Temp. Distribución 7ºC</v>
      </c>
      <c r="N163" s="1" t="str">
        <f>INDEX(S195:U195,$G$4)</f>
        <v>Temp. Distribución 12ºC</v>
      </c>
      <c r="O163" s="1" t="str">
        <f>INDEX(S196:U196,$G$4)</f>
        <v>Temp. Distribución 17ºC</v>
      </c>
      <c r="P163" s="223" t="str">
        <f>INDEX(S197:U197,$G$4)</f>
        <v>Cualquier Temperatura</v>
      </c>
    </row>
    <row r="164" spans="1:21" ht="13.5" thickBot="1">
      <c r="J164" s="105" t="s">
        <v>372</v>
      </c>
      <c r="K164" s="467">
        <v>1</v>
      </c>
      <c r="L164" s="105">
        <v>2</v>
      </c>
      <c r="M164" s="105">
        <v>1</v>
      </c>
      <c r="N164" s="105">
        <v>2</v>
      </c>
      <c r="O164" s="105">
        <v>3</v>
      </c>
      <c r="P164" s="105">
        <v>4</v>
      </c>
    </row>
    <row r="165" spans="1:21" ht="15.75">
      <c r="A165" s="762" t="str">
        <f>TranslationInterface!E57</f>
        <v>SISTEMAS TÉRMICOS EN LA SITUACIÓN INICIAL Y FINAL</v>
      </c>
      <c r="B165" s="763"/>
      <c r="C165" s="763"/>
      <c r="D165" s="763"/>
      <c r="E165" s="763"/>
      <c r="F165" s="763"/>
      <c r="G165" s="764"/>
      <c r="H165" s="628"/>
      <c r="I165" s="487" t="str">
        <f t="shared" ref="I165:I170" si="9">INDEX(S165:U165,$G$4)</f>
        <v>BdC Equipos centralizados (viviendas unifamiliares)</v>
      </c>
      <c r="J165" s="225">
        <v>1</v>
      </c>
      <c r="K165" s="466">
        <v>0.83</v>
      </c>
      <c r="L165" s="466">
        <v>0.78</v>
      </c>
      <c r="M165" s="465">
        <v>1</v>
      </c>
      <c r="N165" s="465">
        <v>1</v>
      </c>
      <c r="O165" s="465">
        <v>1</v>
      </c>
      <c r="P165" s="465">
        <v>1</v>
      </c>
      <c r="S165" s="1" t="s">
        <v>396</v>
      </c>
      <c r="T165" s="487" t="s">
        <v>395</v>
      </c>
      <c r="U165" s="223" t="s">
        <v>1308</v>
      </c>
    </row>
    <row r="166" spans="1:21">
      <c r="A166" s="563"/>
      <c r="B166" s="789" t="str">
        <f>TranslationInterface!E58</f>
        <v>CALEFACCIÓN</v>
      </c>
      <c r="C166" s="789"/>
      <c r="D166" s="789"/>
      <c r="E166" s="789"/>
      <c r="F166" s="789"/>
      <c r="G166" s="589"/>
      <c r="H166" s="629"/>
      <c r="I166" s="487" t="str">
        <f t="shared" si="9"/>
        <v>Bdc Equipos centralizados (viviendas en bloque)</v>
      </c>
      <c r="J166" s="225">
        <v>2</v>
      </c>
      <c r="K166" s="466">
        <v>0.9</v>
      </c>
      <c r="L166" s="466">
        <v>0.88</v>
      </c>
      <c r="M166" s="465">
        <v>1</v>
      </c>
      <c r="N166" s="465">
        <v>1</v>
      </c>
      <c r="O166" s="465">
        <v>1</v>
      </c>
      <c r="P166" s="465">
        <v>1</v>
      </c>
      <c r="S166" s="1" t="s">
        <v>410</v>
      </c>
      <c r="T166" s="487" t="s">
        <v>398</v>
      </c>
      <c r="U166" s="223" t="s">
        <v>1309</v>
      </c>
    </row>
    <row r="167" spans="1:21" hidden="1">
      <c r="A167" s="563"/>
      <c r="B167" s="564"/>
      <c r="C167" s="564"/>
      <c r="D167" s="564"/>
      <c r="E167" s="564"/>
      <c r="F167" s="564"/>
      <c r="G167" s="589"/>
      <c r="H167" s="629"/>
      <c r="I167" s="487" t="str">
        <f t="shared" si="9"/>
        <v>BdC tipo split (viviendas individuales y viviendas en bloque)</v>
      </c>
      <c r="J167" s="225">
        <v>3</v>
      </c>
      <c r="K167" s="466">
        <v>0.54</v>
      </c>
      <c r="L167" s="466">
        <v>0.75</v>
      </c>
      <c r="M167" s="465">
        <v>1</v>
      </c>
      <c r="N167" s="465">
        <v>1</v>
      </c>
      <c r="O167" s="465">
        <v>1</v>
      </c>
      <c r="P167" s="465">
        <v>1</v>
      </c>
      <c r="S167" s="1" t="s">
        <v>400</v>
      </c>
      <c r="T167" s="487" t="s">
        <v>397</v>
      </c>
      <c r="U167" s="223" t="s">
        <v>1310</v>
      </c>
    </row>
    <row r="168" spans="1:21" hidden="1">
      <c r="A168" s="563"/>
      <c r="B168" s="564"/>
      <c r="C168" s="564"/>
      <c r="D168" s="564"/>
      <c r="E168" s="564"/>
      <c r="F168" s="564"/>
      <c r="G168" s="589"/>
      <c r="H168" s="629"/>
      <c r="I168" s="487" t="str">
        <f t="shared" si="9"/>
        <v>BdC geotérmicas con intercambiadores verticales (viviendas unifamiliares)</v>
      </c>
      <c r="J168" s="225">
        <v>4</v>
      </c>
      <c r="K168" s="466">
        <v>1.5620000000000001</v>
      </c>
      <c r="L168" s="466">
        <v>1.3089999999999999</v>
      </c>
      <c r="M168" s="465">
        <v>1</v>
      </c>
      <c r="N168" s="465">
        <v>1.1539999999999999</v>
      </c>
      <c r="O168" s="465">
        <v>1.3340000000000001</v>
      </c>
      <c r="P168" s="465">
        <v>1</v>
      </c>
      <c r="S168" s="1" t="s">
        <v>402</v>
      </c>
      <c r="T168" s="487" t="s">
        <v>401</v>
      </c>
      <c r="U168" s="223" t="s">
        <v>1311</v>
      </c>
    </row>
    <row r="169" spans="1:21">
      <c r="A169" s="563"/>
      <c r="B169" s="471" t="str">
        <f>TranslationInterface!E50</f>
        <v>Coste energía €/kWh</v>
      </c>
      <c r="C169" s="790">
        <f>0.05*1.21</f>
        <v>6.0499999999999998E-2</v>
      </c>
      <c r="D169" s="791"/>
      <c r="E169" s="791"/>
      <c r="F169" s="792"/>
      <c r="G169" s="589"/>
      <c r="H169" s="629" t="s">
        <v>363</v>
      </c>
      <c r="I169" s="487" t="str">
        <f t="shared" si="9"/>
        <v>BdC geotérmicas con intercambiadores verticales (viviendas en bloque)</v>
      </c>
      <c r="J169" s="225">
        <v>5</v>
      </c>
      <c r="K169" s="466">
        <v>1.577</v>
      </c>
      <c r="L169" s="466">
        <v>1.3220000000000001</v>
      </c>
      <c r="M169" s="465">
        <v>1</v>
      </c>
      <c r="N169" s="465">
        <v>1.1539999999999999</v>
      </c>
      <c r="O169" s="465">
        <v>1.3340000000000001</v>
      </c>
      <c r="P169" s="465">
        <v>1</v>
      </c>
      <c r="S169" s="1" t="s">
        <v>405</v>
      </c>
      <c r="T169" s="487" t="s">
        <v>404</v>
      </c>
      <c r="U169" s="223" t="s">
        <v>1312</v>
      </c>
    </row>
    <row r="170" spans="1:21">
      <c r="A170" s="563"/>
      <c r="B170" s="471" t="str">
        <f>TranslationInterface!E51</f>
        <v>Zona Climática</v>
      </c>
      <c r="C170" s="747"/>
      <c r="D170" s="748"/>
      <c r="E170" s="748"/>
      <c r="F170" s="749"/>
      <c r="G170" s="589"/>
      <c r="H170" s="739">
        <v>2</v>
      </c>
      <c r="I170" s="487" t="str">
        <f t="shared" si="9"/>
        <v>BdC geotérmicas con intercambiadores horizontales (viviendas unifamiliares)</v>
      </c>
      <c r="J170" s="225">
        <v>6</v>
      </c>
      <c r="K170" s="466">
        <v>1.125</v>
      </c>
      <c r="L170" s="466">
        <v>0.97399999999999998</v>
      </c>
      <c r="M170" s="465">
        <v>1</v>
      </c>
      <c r="N170" s="465">
        <v>1.1539999999999999</v>
      </c>
      <c r="O170" s="465">
        <v>1.3340000000000001</v>
      </c>
      <c r="P170" s="465">
        <v>1</v>
      </c>
      <c r="S170" s="1" t="s">
        <v>406</v>
      </c>
      <c r="T170" s="487" t="s">
        <v>1314</v>
      </c>
      <c r="U170" s="223" t="s">
        <v>1313</v>
      </c>
    </row>
    <row r="171" spans="1:21">
      <c r="A171" s="563"/>
      <c r="B171" s="471" t="str">
        <f>TranslationInterface!E52</f>
        <v>Tipo de generador</v>
      </c>
      <c r="C171" s="747"/>
      <c r="D171" s="748"/>
      <c r="E171" s="748"/>
      <c r="F171" s="749"/>
      <c r="G171" s="589"/>
      <c r="H171" s="739">
        <v>1</v>
      </c>
    </row>
    <row r="172" spans="1:21" ht="15.75" customHeight="1">
      <c r="A172" s="563"/>
      <c r="B172" s="471" t="str">
        <f>TranslationInterface!E53</f>
        <v>Tipo de distribución</v>
      </c>
      <c r="C172" s="747"/>
      <c r="D172" s="748"/>
      <c r="E172" s="748"/>
      <c r="F172" s="749"/>
      <c r="G172" s="589"/>
      <c r="H172" s="739">
        <v>5</v>
      </c>
    </row>
    <row r="173" spans="1:21">
      <c r="A173" s="563"/>
      <c r="B173" s="471" t="str">
        <f>TranslationInterface!E54</f>
        <v>Eficiencia nominal</v>
      </c>
      <c r="C173" s="750">
        <v>0.7</v>
      </c>
      <c r="D173" s="751"/>
      <c r="E173" s="751"/>
      <c r="F173" s="752"/>
      <c r="G173" s="589"/>
      <c r="H173" s="739"/>
    </row>
    <row r="174" spans="1:21">
      <c r="A174" s="563"/>
      <c r="B174" s="471" t="str">
        <f>TranslationInterface!E55</f>
        <v>Tipo de combustible</v>
      </c>
      <c r="C174" s="750"/>
      <c r="D174" s="751"/>
      <c r="E174" s="751"/>
      <c r="F174" s="752"/>
      <c r="G174" s="589"/>
      <c r="H174" s="739">
        <v>2</v>
      </c>
      <c r="I174" s="488" t="s">
        <v>411</v>
      </c>
      <c r="J174" s="469"/>
      <c r="K174" s="468" t="s">
        <v>412</v>
      </c>
      <c r="L174" s="469"/>
    </row>
    <row r="175" spans="1:21" ht="14.25" hidden="1">
      <c r="A175" s="563"/>
      <c r="B175" s="564"/>
      <c r="C175" s="564"/>
      <c r="D175" s="590" t="s">
        <v>436</v>
      </c>
      <c r="E175" s="591">
        <f>INDEX(K145:L160,H171,H170)</f>
        <v>0.97</v>
      </c>
      <c r="F175" s="564"/>
      <c r="G175" s="589"/>
      <c r="H175" s="739"/>
      <c r="J175" s="470" t="s">
        <v>372</v>
      </c>
      <c r="K175" s="471" t="s">
        <v>413</v>
      </c>
      <c r="L175" s="471" t="s">
        <v>33</v>
      </c>
      <c r="M175" s="472" t="s">
        <v>414</v>
      </c>
    </row>
    <row r="176" spans="1:21" hidden="1">
      <c r="A176" s="563"/>
      <c r="B176" s="564"/>
      <c r="C176" s="564"/>
      <c r="D176" s="590" t="s">
        <v>437</v>
      </c>
      <c r="E176" s="591">
        <f>INDEX(M145:R160,H171,H172)</f>
        <v>1</v>
      </c>
      <c r="F176" s="564"/>
      <c r="G176" s="589"/>
      <c r="H176" s="739"/>
      <c r="I176" s="487" t="str">
        <f t="shared" ref="I176:I190" si="10">INDEX(S176:U176,$G$4)</f>
        <v>Fuel oil</v>
      </c>
      <c r="J176" s="105">
        <v>1</v>
      </c>
      <c r="K176" s="473"/>
      <c r="L176" s="473">
        <v>1.35</v>
      </c>
      <c r="M176" s="465">
        <v>287</v>
      </c>
      <c r="S176" s="223" t="s">
        <v>415</v>
      </c>
      <c r="T176" s="469" t="s">
        <v>415</v>
      </c>
      <c r="U176" s="223" t="s">
        <v>1328</v>
      </c>
    </row>
    <row r="177" spans="1:21" hidden="1">
      <c r="A177" s="563"/>
      <c r="B177" s="564"/>
      <c r="C177" s="564"/>
      <c r="D177" s="590" t="s">
        <v>438</v>
      </c>
      <c r="E177" s="591">
        <f>C173*E175*E176</f>
        <v>0.67899999999999994</v>
      </c>
      <c r="F177" s="564"/>
      <c r="G177" s="589"/>
      <c r="H177" s="739"/>
      <c r="I177" s="487" t="str">
        <f t="shared" si="10"/>
        <v>Gas</v>
      </c>
      <c r="J177" s="105">
        <v>2</v>
      </c>
      <c r="K177" s="473"/>
      <c r="L177" s="473">
        <v>1.36</v>
      </c>
      <c r="M177" s="465">
        <v>204</v>
      </c>
      <c r="S177" s="223" t="s">
        <v>379</v>
      </c>
      <c r="T177" s="469" t="s">
        <v>379</v>
      </c>
      <c r="U177" s="223" t="s">
        <v>1327</v>
      </c>
    </row>
    <row r="178" spans="1:21">
      <c r="A178" s="563"/>
      <c r="B178" s="767" t="str">
        <f>TranslationInterface!E59</f>
        <v>AGUA CALIENTE</v>
      </c>
      <c r="C178" s="767"/>
      <c r="D178" s="767"/>
      <c r="E178" s="767"/>
      <c r="F178" s="767"/>
      <c r="G178" s="589"/>
      <c r="H178" s="739"/>
      <c r="I178" s="487" t="str">
        <f t="shared" si="10"/>
        <v>Antracita</v>
      </c>
      <c r="J178" s="105">
        <v>3</v>
      </c>
      <c r="K178" s="473">
        <v>1.19</v>
      </c>
      <c r="L178" s="473">
        <v>1.19</v>
      </c>
      <c r="M178" s="465">
        <v>394</v>
      </c>
      <c r="S178" s="223" t="s">
        <v>417</v>
      </c>
      <c r="T178" s="469" t="s">
        <v>416</v>
      </c>
      <c r="U178" s="223" t="s">
        <v>416</v>
      </c>
    </row>
    <row r="179" spans="1:21">
      <c r="A179" s="563"/>
      <c r="B179" s="471" t="str">
        <f>TranslationInterface!E56</f>
        <v>Cobertura solar (0-100)</v>
      </c>
      <c r="C179" s="759">
        <v>0</v>
      </c>
      <c r="D179" s="760"/>
      <c r="E179" s="760"/>
      <c r="F179" s="761"/>
      <c r="G179" s="589"/>
      <c r="H179" s="739"/>
      <c r="I179" s="487" t="str">
        <f t="shared" si="10"/>
        <v>Lignito</v>
      </c>
      <c r="J179" s="105">
        <v>4</v>
      </c>
      <c r="K179" s="473">
        <v>1.4</v>
      </c>
      <c r="L179" s="473">
        <v>1.4</v>
      </c>
      <c r="M179" s="465">
        <v>433</v>
      </c>
      <c r="S179" s="223" t="s">
        <v>419</v>
      </c>
      <c r="T179" s="469" t="s">
        <v>418</v>
      </c>
      <c r="U179" s="223" t="s">
        <v>418</v>
      </c>
    </row>
    <row r="180" spans="1:21">
      <c r="A180" s="563"/>
      <c r="B180" s="767" t="str">
        <f>TranslationInterface!E60</f>
        <v>REFRIGERACIÓN</v>
      </c>
      <c r="C180" s="767"/>
      <c r="D180" s="767"/>
      <c r="E180" s="767"/>
      <c r="F180" s="767"/>
      <c r="G180" s="589"/>
      <c r="H180" s="739"/>
      <c r="I180" s="487" t="str">
        <f t="shared" si="10"/>
        <v>Coke</v>
      </c>
      <c r="J180" s="105">
        <v>5</v>
      </c>
      <c r="K180" s="473">
        <v>1.53</v>
      </c>
      <c r="L180" s="473">
        <v>1.53</v>
      </c>
      <c r="M180" s="465">
        <v>467</v>
      </c>
      <c r="S180" s="223" t="s">
        <v>420</v>
      </c>
      <c r="T180" s="225" t="s">
        <v>420</v>
      </c>
      <c r="U180" s="223" t="s">
        <v>420</v>
      </c>
    </row>
    <row r="181" spans="1:21">
      <c r="A181" s="563"/>
      <c r="B181" s="471" t="str">
        <f>TranslationInterface!E50</f>
        <v>Coste energía €/kWh</v>
      </c>
      <c r="C181" s="793">
        <f>0.15*1.21</f>
        <v>0.18149999999999999</v>
      </c>
      <c r="D181" s="794"/>
      <c r="E181" s="794"/>
      <c r="F181" s="795"/>
      <c r="G181" s="592"/>
      <c r="H181" s="740"/>
      <c r="I181" s="487" t="str">
        <f t="shared" si="10"/>
        <v>Biomasa</v>
      </c>
      <c r="J181" s="105">
        <v>6</v>
      </c>
      <c r="K181" s="473">
        <v>0.06</v>
      </c>
      <c r="L181" s="473">
        <v>1.06</v>
      </c>
      <c r="M181" s="465">
        <v>4</v>
      </c>
      <c r="S181" s="223" t="s">
        <v>422</v>
      </c>
      <c r="T181" s="225" t="s">
        <v>421</v>
      </c>
      <c r="U181" s="223" t="s">
        <v>1315</v>
      </c>
    </row>
    <row r="182" spans="1:21">
      <c r="A182" s="563"/>
      <c r="B182" s="471" t="str">
        <f>TranslationInterface!E61</f>
        <v>Refrigeración (si / no?)</v>
      </c>
      <c r="C182" s="753"/>
      <c r="D182" s="754"/>
      <c r="E182" s="754"/>
      <c r="F182" s="755"/>
      <c r="G182" s="589"/>
      <c r="H182" s="739">
        <v>1</v>
      </c>
      <c r="I182" s="487" t="str">
        <f t="shared" si="10"/>
        <v>Biomasa (ES)</v>
      </c>
      <c r="J182" s="105">
        <v>7</v>
      </c>
      <c r="K182" s="473"/>
      <c r="L182" s="473">
        <v>1.06</v>
      </c>
      <c r="M182" s="465">
        <v>0</v>
      </c>
      <c r="S182" s="223" t="s">
        <v>464</v>
      </c>
      <c r="T182" s="225" t="s">
        <v>423</v>
      </c>
      <c r="U182" s="223" t="s">
        <v>1321</v>
      </c>
    </row>
    <row r="183" spans="1:21">
      <c r="A183" s="563"/>
      <c r="B183" s="471" t="str">
        <f>TranslationInterface!E51</f>
        <v>Zona Climática</v>
      </c>
      <c r="C183" s="756"/>
      <c r="D183" s="757"/>
      <c r="E183" s="757"/>
      <c r="F183" s="758"/>
      <c r="G183" s="589"/>
      <c r="H183" s="739">
        <v>2</v>
      </c>
      <c r="I183" s="487" t="str">
        <f t="shared" si="10"/>
        <v>Madera haya</v>
      </c>
      <c r="J183" s="105">
        <v>8</v>
      </c>
      <c r="K183" s="473">
        <v>0.09</v>
      </c>
      <c r="L183" s="473">
        <v>1.0900000000000001</v>
      </c>
      <c r="M183" s="465">
        <v>14</v>
      </c>
      <c r="S183" s="223" t="s">
        <v>425</v>
      </c>
      <c r="T183" s="225" t="s">
        <v>424</v>
      </c>
      <c r="U183" s="223" t="s">
        <v>1318</v>
      </c>
    </row>
    <row r="184" spans="1:21">
      <c r="A184" s="563"/>
      <c r="B184" s="471" t="str">
        <f>TranslationInterface!E52</f>
        <v>Tipo de generador</v>
      </c>
      <c r="C184" s="756"/>
      <c r="D184" s="757"/>
      <c r="E184" s="757"/>
      <c r="F184" s="758"/>
      <c r="G184" s="589"/>
      <c r="H184" s="739">
        <v>1</v>
      </c>
      <c r="I184" s="487" t="str">
        <f t="shared" si="10"/>
        <v>Madera abeto</v>
      </c>
      <c r="J184" s="105">
        <v>9</v>
      </c>
      <c r="K184" s="473">
        <v>7.0000000000000007E-2</v>
      </c>
      <c r="L184" s="473">
        <v>1.07</v>
      </c>
      <c r="M184" s="465">
        <v>13</v>
      </c>
      <c r="S184" s="223" t="s">
        <v>427</v>
      </c>
      <c r="T184" s="225" t="s">
        <v>426</v>
      </c>
      <c r="U184" s="223" t="s">
        <v>1316</v>
      </c>
    </row>
    <row r="185" spans="1:21">
      <c r="A185" s="563"/>
      <c r="B185" s="471" t="str">
        <f>TranslationInterface!E53</f>
        <v>Tipo de distribución</v>
      </c>
      <c r="C185" s="756"/>
      <c r="D185" s="757"/>
      <c r="E185" s="757"/>
      <c r="F185" s="758"/>
      <c r="G185" s="589"/>
      <c r="H185" s="739">
        <v>1</v>
      </c>
      <c r="I185" s="487" t="str">
        <f t="shared" si="10"/>
        <v>Electricidad (hidroelectrica)</v>
      </c>
      <c r="J185" s="105">
        <v>10</v>
      </c>
      <c r="K185" s="473">
        <v>0.1</v>
      </c>
      <c r="L185" s="473">
        <v>1.1000000000000001</v>
      </c>
      <c r="M185" s="465">
        <v>20</v>
      </c>
      <c r="S185" s="223" t="s">
        <v>429</v>
      </c>
      <c r="T185" s="225" t="s">
        <v>428</v>
      </c>
      <c r="U185" s="223" t="s">
        <v>1319</v>
      </c>
    </row>
    <row r="186" spans="1:21">
      <c r="A186" s="563"/>
      <c r="B186" s="471" t="str">
        <f>TranslationInterface!E54</f>
        <v>Eficiencia nominal</v>
      </c>
      <c r="C186" s="759">
        <v>3</v>
      </c>
      <c r="D186" s="760"/>
      <c r="E186" s="760"/>
      <c r="F186" s="761"/>
      <c r="G186" s="589"/>
      <c r="H186" s="739"/>
      <c r="I186" s="487" t="str">
        <f t="shared" si="10"/>
        <v>Electricidad (nuclear)</v>
      </c>
      <c r="J186" s="105">
        <v>11</v>
      </c>
      <c r="K186" s="473">
        <v>0.5</v>
      </c>
      <c r="L186" s="473">
        <v>1.5</v>
      </c>
      <c r="M186" s="465">
        <v>7</v>
      </c>
      <c r="S186" s="223" t="s">
        <v>431</v>
      </c>
      <c r="T186" s="225" t="s">
        <v>430</v>
      </c>
      <c r="U186" s="223" t="s">
        <v>1320</v>
      </c>
    </row>
    <row r="187" spans="1:21">
      <c r="A187" s="563"/>
      <c r="B187" s="471" t="str">
        <f>TranslationInterface!E55</f>
        <v>Tipo de combustible</v>
      </c>
      <c r="C187" s="743"/>
      <c r="D187" s="744"/>
      <c r="E187" s="744"/>
      <c r="F187" s="745"/>
      <c r="G187" s="589"/>
      <c r="H187" s="739">
        <v>14</v>
      </c>
      <c r="I187" s="487" t="str">
        <f t="shared" si="10"/>
        <v>Electricidad (térmica)</v>
      </c>
      <c r="J187" s="105">
        <v>12</v>
      </c>
      <c r="K187" s="473">
        <v>2.8</v>
      </c>
      <c r="L187" s="473">
        <v>2.8</v>
      </c>
      <c r="M187" s="465">
        <v>16</v>
      </c>
      <c r="S187" s="223" t="s">
        <v>433</v>
      </c>
      <c r="T187" s="225" t="s">
        <v>432</v>
      </c>
      <c r="U187" s="223" t="s">
        <v>1317</v>
      </c>
    </row>
    <row r="188" spans="1:21" hidden="1">
      <c r="A188" s="563"/>
      <c r="B188" s="564"/>
      <c r="C188" s="564"/>
      <c r="D188" s="590" t="s">
        <v>436</v>
      </c>
      <c r="E188" s="593">
        <f>INDEX(K165:L170,H184,H183)</f>
        <v>0.78</v>
      </c>
      <c r="F188" s="564"/>
      <c r="G188" s="589"/>
      <c r="H188" s="629"/>
      <c r="I188" s="487" t="str">
        <f t="shared" si="10"/>
        <v>Electricidad central de carbon</v>
      </c>
      <c r="J188" s="105">
        <v>13</v>
      </c>
      <c r="K188" s="473">
        <v>4.05</v>
      </c>
      <c r="L188" s="473">
        <v>4.05</v>
      </c>
      <c r="M188" s="465">
        <v>1340</v>
      </c>
      <c r="S188" s="223" t="s">
        <v>1322</v>
      </c>
      <c r="T188" s="225" t="s">
        <v>432</v>
      </c>
      <c r="U188" s="223" t="s">
        <v>1326</v>
      </c>
    </row>
    <row r="189" spans="1:21" hidden="1">
      <c r="A189" s="563"/>
      <c r="B189" s="564"/>
      <c r="C189" s="564"/>
      <c r="D189" s="590" t="s">
        <v>437</v>
      </c>
      <c r="E189" s="593">
        <f>INDEX(M165:P170,H184,H185)</f>
        <v>1</v>
      </c>
      <c r="F189" s="564"/>
      <c r="G189" s="589"/>
      <c r="H189" s="629"/>
      <c r="I189" s="487" t="str">
        <f t="shared" si="10"/>
        <v>Electricidad (ES)</v>
      </c>
      <c r="J189" s="105">
        <v>14</v>
      </c>
      <c r="K189" s="473"/>
      <c r="L189" s="473">
        <v>2.35</v>
      </c>
      <c r="M189" s="465">
        <v>649</v>
      </c>
      <c r="S189" s="223" t="s">
        <v>465</v>
      </c>
      <c r="T189" s="223" t="s">
        <v>1323</v>
      </c>
      <c r="U189" s="223" t="s">
        <v>1323</v>
      </c>
    </row>
    <row r="190" spans="1:21" hidden="1">
      <c r="A190" s="563"/>
      <c r="B190" s="564"/>
      <c r="C190" s="564"/>
      <c r="D190" s="590" t="s">
        <v>438</v>
      </c>
      <c r="E190" s="593">
        <f>C186*E188*E189</f>
        <v>2.34</v>
      </c>
      <c r="F190" s="564"/>
      <c r="G190" s="589"/>
      <c r="H190" s="629"/>
      <c r="I190" s="487" t="str">
        <f t="shared" si="10"/>
        <v>Electricidad Mix UCPTE</v>
      </c>
      <c r="J190" s="105">
        <v>15</v>
      </c>
      <c r="K190" s="473">
        <v>3.14</v>
      </c>
      <c r="L190" s="473">
        <v>3.31</v>
      </c>
      <c r="M190" s="465">
        <v>617</v>
      </c>
      <c r="S190" s="224" t="s">
        <v>1324</v>
      </c>
      <c r="T190" s="225" t="s">
        <v>403</v>
      </c>
      <c r="U190" s="224" t="s">
        <v>1325</v>
      </c>
    </row>
    <row r="191" spans="1:21" ht="13.5" thickBot="1">
      <c r="A191" s="639" t="s">
        <v>214</v>
      </c>
      <c r="B191" s="567"/>
      <c r="C191" s="567"/>
      <c r="D191" s="567"/>
      <c r="E191" s="567"/>
      <c r="F191" s="567"/>
      <c r="G191" s="594"/>
      <c r="H191" s="629"/>
      <c r="T191" s="223"/>
    </row>
    <row r="192" spans="1:21" ht="13.5" thickBot="1">
      <c r="A192" s="550"/>
      <c r="B192" s="746" t="str">
        <f>TranslationInterface!E62</f>
        <v>ESTIMACIÓN SITUACIÓN ENERGÉTICA INICIAL</v>
      </c>
      <c r="C192" s="746"/>
      <c r="D192" s="746"/>
      <c r="E192" s="746"/>
      <c r="F192" s="746"/>
      <c r="G192" s="551"/>
      <c r="H192" s="629"/>
      <c r="I192" s="223" t="str">
        <f>INDEX(S192:U192,$G$4)</f>
        <v>Con Refrigeraciòn</v>
      </c>
      <c r="J192" s="225">
        <v>1</v>
      </c>
      <c r="S192" s="223" t="s">
        <v>1337</v>
      </c>
      <c r="T192" s="223" t="s">
        <v>434</v>
      </c>
      <c r="U192" s="223" t="s">
        <v>1338</v>
      </c>
    </row>
    <row r="193" spans="1:21" ht="26.25" thickBot="1">
      <c r="A193" s="480"/>
      <c r="B193" s="481"/>
      <c r="C193" s="497" t="str">
        <f>TranslationInterface!E69</f>
        <v>Demanda energética (kWh/m2)</v>
      </c>
      <c r="D193" s="498" t="str">
        <f>TranslationInterface!E70</f>
        <v>Energía Final (kWh/m2)</v>
      </c>
      <c r="E193" s="498" t="str">
        <f>TranslationInterface!E71</f>
        <v>Energía Primaria (kWh/m2)</v>
      </c>
      <c r="F193" s="498" t="str">
        <f>TranslationInterface!E72</f>
        <v>Emisiones CO2 (gr/m2)</v>
      </c>
      <c r="G193" s="499" t="str">
        <f>TranslationInterface!E73</f>
        <v>Coste operación (€/m2)</v>
      </c>
      <c r="H193" s="629"/>
      <c r="I193" s="223" t="str">
        <f>INDEX(S193:U193,$G$4)</f>
        <v>Sin Refrigeraciòn</v>
      </c>
      <c r="J193" s="225">
        <v>2</v>
      </c>
      <c r="S193" s="223" t="s">
        <v>1335</v>
      </c>
      <c r="T193" s="223" t="s">
        <v>435</v>
      </c>
      <c r="U193" s="223" t="s">
        <v>1336</v>
      </c>
    </row>
    <row r="194" spans="1:21">
      <c r="A194" s="480"/>
      <c r="B194" s="489" t="str">
        <f>TranslationInterface!E64</f>
        <v>CALEFACCIÓN</v>
      </c>
      <c r="C194" s="490">
        <f>F7</f>
        <v>105.05155078279792</v>
      </c>
      <c r="D194" s="490">
        <f>C194/$E$177</f>
        <v>154.71509688188206</v>
      </c>
      <c r="E194" s="490">
        <f>INDEX($L$176:$L$190,$H$174)*D$194</f>
        <v>210.41253175935961</v>
      </c>
      <c r="F194" s="490">
        <f>INDEX($M$176:$M$190,$H$174)*D194</f>
        <v>31561.87976390394</v>
      </c>
      <c r="G194" s="491">
        <f>D194*$C$169</f>
        <v>9.3602633613538639</v>
      </c>
      <c r="H194" s="629"/>
      <c r="S194" s="223" t="s">
        <v>1329</v>
      </c>
      <c r="T194" s="1" t="s">
        <v>407</v>
      </c>
      <c r="U194" s="223" t="s">
        <v>1332</v>
      </c>
    </row>
    <row r="195" spans="1:21">
      <c r="A195" s="480"/>
      <c r="B195" s="492" t="str">
        <f>TranslationInterface!E65</f>
        <v>REFRIGERACIÓN</v>
      </c>
      <c r="C195" s="482">
        <f>F8</f>
        <v>31.265784662439884</v>
      </c>
      <c r="D195" s="482">
        <f>IF($H$182=2,C195/1.7,C195/$E$190)</f>
        <v>13.361446436940122</v>
      </c>
      <c r="E195" s="482">
        <f>IF(H182=2,D195*L189,INDEX($L$176:$L$190,$H$187)*D$195)</f>
        <v>31.399399126809289</v>
      </c>
      <c r="F195" s="482">
        <f>IF(H182=2,D195*M189,INDEX($M$176:$M$190,$H$187)*D195)</f>
        <v>8671.5787375741402</v>
      </c>
      <c r="G195" s="493">
        <f>D195*$C$181</f>
        <v>2.4251025283046319</v>
      </c>
      <c r="H195" s="629"/>
      <c r="S195" s="223" t="s">
        <v>1330</v>
      </c>
      <c r="T195" s="1" t="s">
        <v>408</v>
      </c>
      <c r="U195" s="223" t="s">
        <v>1333</v>
      </c>
    </row>
    <row r="196" spans="1:21">
      <c r="A196" s="480"/>
      <c r="B196" s="492" t="str">
        <f>TranslationInterface!E66</f>
        <v>AGUA CALIENTE</v>
      </c>
      <c r="C196" s="483">
        <f>INDEX(Cities!ES3:ET91,B5,DATA!H209)*(1-0.01*C179)</f>
        <v>12.8</v>
      </c>
      <c r="D196" s="531">
        <f>E196/$L$177</f>
        <v>14.779411764705882</v>
      </c>
      <c r="E196" s="531">
        <f>INDEX(Cities!EU3:EV91,B5,DATA!H209)*(1-0.01*C179)</f>
        <v>20.100000000000001</v>
      </c>
      <c r="F196" s="531">
        <f>INDEX(Cities!EW3:EX92,B5,DATA!H209)*1000*(1-0.01*C179)</f>
        <v>4900</v>
      </c>
      <c r="G196" s="493">
        <f>D196*$C$169</f>
        <v>0.89415441176470589</v>
      </c>
      <c r="H196" s="629"/>
      <c r="I196" s="225" t="str">
        <f>K143</f>
        <v>Zona templada</v>
      </c>
      <c r="J196" s="225">
        <v>1</v>
      </c>
      <c r="L196" s="225" t="str">
        <f>M143</f>
        <v>Temp. Distribución 35ºC</v>
      </c>
      <c r="M196" s="225">
        <v>1</v>
      </c>
      <c r="N196" s="1" t="str">
        <f>M163</f>
        <v>Temp. Distribución 7ºC</v>
      </c>
      <c r="S196" s="223" t="s">
        <v>1331</v>
      </c>
      <c r="T196" s="1" t="s">
        <v>409</v>
      </c>
      <c r="U196" s="223" t="s">
        <v>1334</v>
      </c>
    </row>
    <row r="197" spans="1:21">
      <c r="A197" s="480"/>
      <c r="B197" s="492" t="str">
        <f>TranslationInterface!E67</f>
        <v>ILUMINACIÓN</v>
      </c>
      <c r="C197" s="483" t="s">
        <v>211</v>
      </c>
      <c r="D197" s="482">
        <v>2</v>
      </c>
      <c r="E197" s="482">
        <f>D197*$L$190</f>
        <v>6.62</v>
      </c>
      <c r="F197" s="482">
        <f>E197*$M$190</f>
        <v>4084.54</v>
      </c>
      <c r="G197" s="493">
        <f>D197*$C$181</f>
        <v>0.36299999999999999</v>
      </c>
      <c r="H197" s="629"/>
      <c r="I197" s="225" t="str">
        <f>L143</f>
        <v>Zona fría</v>
      </c>
      <c r="J197" s="225">
        <v>2</v>
      </c>
      <c r="L197" s="225" t="str">
        <f>N143</f>
        <v>Temp. Distribución 40ºC</v>
      </c>
      <c r="M197" s="225">
        <v>2</v>
      </c>
      <c r="N197" s="1" t="str">
        <f>N163</f>
        <v>Temp. Distribución 12ºC</v>
      </c>
      <c r="S197" s="223" t="s">
        <v>1294</v>
      </c>
      <c r="T197" s="1" t="s">
        <v>371</v>
      </c>
      <c r="U197" s="223" t="s">
        <v>1295</v>
      </c>
    </row>
    <row r="198" spans="1:21" ht="13.5" thickBot="1">
      <c r="A198" s="480"/>
      <c r="B198" s="494" t="str">
        <f>TranslationInterface!E68</f>
        <v>TOTAL</v>
      </c>
      <c r="C198" s="495">
        <f>SUM(C194:C197)</f>
        <v>149.11733544523781</v>
      </c>
      <c r="D198" s="495">
        <f>SUM(D194:D197)</f>
        <v>184.85595508352807</v>
      </c>
      <c r="E198" s="495">
        <f>SUM(E194:E197)</f>
        <v>268.53193088616894</v>
      </c>
      <c r="F198" s="495">
        <f>SUM(F194:F197)</f>
        <v>49217.998501478083</v>
      </c>
      <c r="G198" s="496">
        <f>SUM(G194:G197)</f>
        <v>13.042520301423203</v>
      </c>
      <c r="H198" s="629"/>
      <c r="L198" s="225" t="str">
        <f>O143</f>
        <v>Temp. Distribución 45ºC</v>
      </c>
      <c r="M198" s="225">
        <v>3</v>
      </c>
      <c r="N198" s="1" t="str">
        <f>O163</f>
        <v>Temp. Distribución 17ºC</v>
      </c>
    </row>
    <row r="199" spans="1:21" ht="13.5" thickBot="1">
      <c r="A199" s="640" t="s">
        <v>214</v>
      </c>
      <c r="B199" s="484"/>
      <c r="C199" s="485"/>
      <c r="D199" s="485"/>
      <c r="E199" s="552" t="s">
        <v>472</v>
      </c>
      <c r="F199" s="549">
        <f>SUM(F194:F196)</f>
        <v>45133.458501478082</v>
      </c>
      <c r="G199" s="486"/>
      <c r="H199" s="629"/>
      <c r="L199" s="225" t="str">
        <f>P143</f>
        <v>Temp. Distribución 50ºC</v>
      </c>
      <c r="M199" s="225">
        <v>4</v>
      </c>
      <c r="N199" s="1" t="str">
        <f>P163</f>
        <v>Cualquier Temperatura</v>
      </c>
    </row>
    <row r="200" spans="1:21" ht="13.5" thickBot="1">
      <c r="A200" s="568"/>
      <c r="B200" s="788" t="str">
        <f>TranslationInterface!E63</f>
        <v>ESTIMACIÓN SITUACIÓN ENERGÉTICA FINAL</v>
      </c>
      <c r="C200" s="788"/>
      <c r="D200" s="788"/>
      <c r="E200" s="788"/>
      <c r="F200" s="788"/>
      <c r="G200" s="569"/>
      <c r="H200" s="629"/>
      <c r="L200" s="225" t="str">
        <f>Q143</f>
        <v>Temp. Distribución 55ºC</v>
      </c>
      <c r="M200" s="225">
        <v>5</v>
      </c>
    </row>
    <row r="201" spans="1:21" ht="26.25" thickBot="1">
      <c r="A201" s="570"/>
      <c r="B201" s="571"/>
      <c r="C201" s="572" t="str">
        <f>TranslationInterface!E69</f>
        <v>Demanda energética (kWh/m2)</v>
      </c>
      <c r="D201" s="573" t="str">
        <f>TranslationInterface!E70</f>
        <v>Energía Final (kWh/m2)</v>
      </c>
      <c r="E201" s="573" t="str">
        <f>TranslationInterface!E71</f>
        <v>Energía Primaria (kWh/m2)</v>
      </c>
      <c r="F201" s="573" t="str">
        <f>TranslationInterface!E72</f>
        <v>Emisiones CO2 (gr/m2)</v>
      </c>
      <c r="G201" s="574" t="str">
        <f>TranslationInterface!E73</f>
        <v>Coste operación (€/m2)</v>
      </c>
      <c r="H201" s="629"/>
      <c r="L201" s="225" t="str">
        <f>R143</f>
        <v>Cualquier Temperatura</v>
      </c>
      <c r="M201" s="225">
        <v>6</v>
      </c>
    </row>
    <row r="202" spans="1:21">
      <c r="A202" s="570"/>
      <c r="B202" s="575" t="str">
        <f>TranslationInterface!E64</f>
        <v>CALEFACCIÓN</v>
      </c>
      <c r="C202" s="576">
        <f>G7</f>
        <v>105.05155078279792</v>
      </c>
      <c r="D202" s="576">
        <f>C202/$E$177</f>
        <v>154.71509688188206</v>
      </c>
      <c r="E202" s="576">
        <f>INDEX($L$176:$L$190,$H$174)*D$202</f>
        <v>210.41253175935961</v>
      </c>
      <c r="F202" s="576">
        <f>INDEX($M$176:$M$190,$H$174)*D202</f>
        <v>31561.87976390394</v>
      </c>
      <c r="G202" s="577">
        <f>D202*$C$169</f>
        <v>9.3602633613538639</v>
      </c>
      <c r="H202" s="629"/>
    </row>
    <row r="203" spans="1:21">
      <c r="A203" s="570"/>
      <c r="B203" s="578" t="str">
        <f>TranslationInterface!E65</f>
        <v>REFRIGERACIÓN</v>
      </c>
      <c r="C203" s="579">
        <f>G8</f>
        <v>31.265784662439884</v>
      </c>
      <c r="D203" s="579">
        <f>IF($H$182=2,C203/1.7,C203/$E$190)</f>
        <v>13.361446436940122</v>
      </c>
      <c r="E203" s="579">
        <f>IF($H$182=2,D203*L189,INDEX($L$176:$L$190,$H$187)*D$203)</f>
        <v>31.399399126809289</v>
      </c>
      <c r="F203" s="579">
        <f>IF($H$182=2,D203*M189,INDEX($M$176:$M$190,$H$187)*D203)</f>
        <v>8671.5787375741402</v>
      </c>
      <c r="G203" s="339">
        <f>D203*$C$181</f>
        <v>2.4251025283046319</v>
      </c>
      <c r="H203" s="629"/>
    </row>
    <row r="204" spans="1:21">
      <c r="A204" s="570"/>
      <c r="B204" s="578" t="str">
        <f>TranslationInterface!E66</f>
        <v>AGUA CALIENTE</v>
      </c>
      <c r="C204" s="581">
        <f>INDEX(Cities!ES3:ET91,B5,DATA!H209)*(1-0.01*C179)</f>
        <v>12.8</v>
      </c>
      <c r="D204" s="580">
        <f>E204/$L$177</f>
        <v>14.779411764705882</v>
      </c>
      <c r="E204" s="580">
        <f>INDEX(Cities!EU3:EV91,B5,DATA!H209)*(1-0.01*C179)</f>
        <v>20.100000000000001</v>
      </c>
      <c r="F204" s="580">
        <f>INDEX(Cities!EW3:EX92,B5,DATA!H209)*1000*(1-0.01*C179)</f>
        <v>4900</v>
      </c>
      <c r="G204" s="339">
        <f>D204*$C$169</f>
        <v>0.89415441176470589</v>
      </c>
      <c r="H204" s="629"/>
    </row>
    <row r="205" spans="1:21">
      <c r="A205" s="570"/>
      <c r="B205" s="578" t="str">
        <f>TranslationInterface!E67</f>
        <v>ILUMINACIÓN</v>
      </c>
      <c r="C205" s="581" t="s">
        <v>211</v>
      </c>
      <c r="D205" s="579">
        <v>2</v>
      </c>
      <c r="E205" s="579">
        <f>D205*$L$190</f>
        <v>6.62</v>
      </c>
      <c r="F205" s="579">
        <f>E205*$M$190</f>
        <v>4084.54</v>
      </c>
      <c r="G205" s="339">
        <f>D205*$C$181</f>
        <v>0.36299999999999999</v>
      </c>
      <c r="H205" s="629"/>
    </row>
    <row r="206" spans="1:21" ht="13.5" thickBot="1">
      <c r="A206" s="570"/>
      <c r="B206" s="582" t="str">
        <f>TranslationInterface!E68</f>
        <v>TOTAL</v>
      </c>
      <c r="C206" s="583">
        <f>SUM(C202:C205)</f>
        <v>149.11733544523781</v>
      </c>
      <c r="D206" s="583">
        <f>SUM(D202:D205)</f>
        <v>184.85595508352807</v>
      </c>
      <c r="E206" s="583">
        <f>SUM(E202:E205)</f>
        <v>268.53193088616894</v>
      </c>
      <c r="F206" s="583">
        <f>SUM(F202:F205)</f>
        <v>49217.998501478083</v>
      </c>
      <c r="G206" s="584">
        <f>SUM(G202:G205)</f>
        <v>13.042520301423203</v>
      </c>
      <c r="H206" s="629"/>
    </row>
    <row r="207" spans="1:21" ht="13.5" thickBot="1">
      <c r="A207" s="641" t="s">
        <v>214</v>
      </c>
      <c r="B207" s="585"/>
      <c r="C207" s="586"/>
      <c r="D207" s="586"/>
      <c r="E207" s="587" t="s">
        <v>472</v>
      </c>
      <c r="F207" s="586">
        <f>SUM(F202:F204)</f>
        <v>45133.458501478082</v>
      </c>
      <c r="G207" s="588"/>
      <c r="H207" s="629"/>
    </row>
    <row r="208" spans="1:21">
      <c r="A208" s="563"/>
      <c r="B208" s="789" t="s">
        <v>451</v>
      </c>
      <c r="C208" s="789"/>
      <c r="D208" s="789"/>
      <c r="E208" s="789"/>
      <c r="F208" s="789"/>
      <c r="G208" s="595"/>
      <c r="H208" s="629"/>
    </row>
    <row r="209" spans="1:8">
      <c r="A209" s="802" t="s">
        <v>810</v>
      </c>
      <c r="B209" s="564" t="s">
        <v>452</v>
      </c>
      <c r="C209" s="687" t="s">
        <v>454</v>
      </c>
      <c r="D209" s="596"/>
      <c r="E209" s="596"/>
      <c r="F209" s="597"/>
      <c r="G209" s="598"/>
      <c r="H209" s="629">
        <f>IF(C209="Unifamiliar",1,2)</f>
        <v>2</v>
      </c>
    </row>
    <row r="210" spans="1:8">
      <c r="A210" s="802"/>
      <c r="B210" s="596"/>
      <c r="C210" s="599" t="s">
        <v>463</v>
      </c>
      <c r="D210" s="597" t="s">
        <v>477</v>
      </c>
      <c r="E210" s="596" t="s">
        <v>462</v>
      </c>
      <c r="F210" s="604" t="s">
        <v>481</v>
      </c>
      <c r="G210" s="605" t="s">
        <v>482</v>
      </c>
      <c r="H210" s="629"/>
    </row>
    <row r="211" spans="1:8" ht="14.25">
      <c r="A211" s="802"/>
      <c r="B211" s="565" t="s">
        <v>478</v>
      </c>
      <c r="C211" s="600">
        <v>0</v>
      </c>
      <c r="D211" s="556" t="s">
        <v>456</v>
      </c>
      <c r="E211" s="602">
        <f>IF(C209="Unifamiliar",INDEX(Cities!EE3:EE91,B5,0),INDEX(Cities!EL3:EL91,B5,0))</f>
        <v>5.3</v>
      </c>
      <c r="F211" s="606" t="str">
        <f>IF($E$219=D211,"XXXXXX","")</f>
        <v/>
      </c>
      <c r="G211" s="605" t="str">
        <f>IF($E$220=D211,"XXXXXX","")</f>
        <v/>
      </c>
      <c r="H211" s="629"/>
    </row>
    <row r="212" spans="1:8" ht="14.25">
      <c r="A212" s="802"/>
      <c r="B212" s="565" t="s">
        <v>478</v>
      </c>
      <c r="C212" s="601">
        <f t="shared" ref="C212:C217" si="11">E211</f>
        <v>5.3</v>
      </c>
      <c r="D212" s="557" t="s">
        <v>457</v>
      </c>
      <c r="E212" s="602">
        <f>IF(C209="Unifamiliar",INDEX(Cities!EF3:EF91,B5,0),INDEX(Cities!EM3:EM91,B5,0))</f>
        <v>8.6999999999999993</v>
      </c>
      <c r="F212" s="606" t="str">
        <f t="shared" ref="F212:F217" si="12">IF($E$219=D212,"XXXXXX","")</f>
        <v/>
      </c>
      <c r="G212" s="605" t="str">
        <f t="shared" ref="G212:G217" si="13">IF($E$220=D212,"XXXXXX","")</f>
        <v/>
      </c>
      <c r="H212" s="629"/>
    </row>
    <row r="213" spans="1:8" ht="14.25">
      <c r="A213" s="802"/>
      <c r="B213" s="565" t="s">
        <v>478</v>
      </c>
      <c r="C213" s="601">
        <f t="shared" si="11"/>
        <v>8.6999999999999993</v>
      </c>
      <c r="D213" s="558" t="s">
        <v>9</v>
      </c>
      <c r="E213" s="602">
        <f>IF(C209="Unifamiliar",INDEX(Cities!EG3:EG91,B5,0),INDEX(Cities!EN3:EN91,B5,0))</f>
        <v>13.5</v>
      </c>
      <c r="F213" s="606" t="str">
        <f t="shared" si="12"/>
        <v/>
      </c>
      <c r="G213" s="605" t="str">
        <f t="shared" si="13"/>
        <v/>
      </c>
      <c r="H213" s="629"/>
    </row>
    <row r="214" spans="1:8" ht="14.25">
      <c r="A214" s="802"/>
      <c r="B214" s="565" t="s">
        <v>478</v>
      </c>
      <c r="C214" s="601">
        <f t="shared" si="11"/>
        <v>13.5</v>
      </c>
      <c r="D214" s="559" t="s">
        <v>458</v>
      </c>
      <c r="E214" s="602">
        <f>IF(C209="Unifamiliar",INDEX(Cities!EH3:EH91,B5,0),INDEX(Cities!EO3:EO91,B5,0))</f>
        <v>20.8</v>
      </c>
      <c r="F214" s="606" t="str">
        <f t="shared" si="12"/>
        <v/>
      </c>
      <c r="G214" s="605" t="str">
        <f t="shared" si="13"/>
        <v/>
      </c>
      <c r="H214" s="629"/>
    </row>
    <row r="215" spans="1:8" ht="14.25">
      <c r="A215" s="802"/>
      <c r="B215" s="565" t="s">
        <v>478</v>
      </c>
      <c r="C215" s="601">
        <f t="shared" si="11"/>
        <v>20.8</v>
      </c>
      <c r="D215" s="560" t="s">
        <v>459</v>
      </c>
      <c r="E215" s="602">
        <f>IF(C209="Unifamiliar",INDEX(Cities!EI3:EI91,B5,0),INDEX(Cities!EP3:EP91,B5,0))</f>
        <v>41.3</v>
      </c>
      <c r="F215" s="606" t="str">
        <f t="shared" si="12"/>
        <v/>
      </c>
      <c r="G215" s="605" t="str">
        <f t="shared" si="13"/>
        <v/>
      </c>
      <c r="H215" s="629"/>
    </row>
    <row r="216" spans="1:8" ht="14.25">
      <c r="A216" s="802"/>
      <c r="B216" s="565" t="s">
        <v>478</v>
      </c>
      <c r="C216" s="601">
        <f t="shared" si="11"/>
        <v>41.3</v>
      </c>
      <c r="D216" s="561" t="s">
        <v>460</v>
      </c>
      <c r="E216" s="602">
        <f>IF(C209="Unifamiliar",INDEX(Cities!EJ3:EJ91,B5,0),INDEX(Cities!EQ3:EQ91,B5,0))</f>
        <v>48.3</v>
      </c>
      <c r="F216" s="606" t="str">
        <f t="shared" si="12"/>
        <v>XXXXXX</v>
      </c>
      <c r="G216" s="605" t="str">
        <f t="shared" si="13"/>
        <v>XXXXXX</v>
      </c>
      <c r="H216" s="629"/>
    </row>
    <row r="217" spans="1:8" ht="14.25">
      <c r="A217" s="802"/>
      <c r="B217" s="565" t="s">
        <v>478</v>
      </c>
      <c r="C217" s="601">
        <f t="shared" si="11"/>
        <v>48.3</v>
      </c>
      <c r="D217" s="562" t="s">
        <v>455</v>
      </c>
      <c r="E217" s="603" t="s">
        <v>479</v>
      </c>
      <c r="F217" s="606" t="str">
        <f t="shared" si="12"/>
        <v/>
      </c>
      <c r="G217" s="605" t="str">
        <f t="shared" si="13"/>
        <v/>
      </c>
      <c r="H217" s="629"/>
    </row>
    <row r="218" spans="1:8">
      <c r="A218" s="803"/>
      <c r="B218" s="564"/>
      <c r="C218" s="596"/>
      <c r="D218" s="596"/>
      <c r="E218" s="596"/>
      <c r="F218" s="596"/>
      <c r="G218" s="595"/>
      <c r="H218" s="629"/>
    </row>
    <row r="219" spans="1:8" ht="15.75">
      <c r="A219" s="803"/>
      <c r="B219" s="799" t="s">
        <v>476</v>
      </c>
      <c r="C219" s="800"/>
      <c r="D219" s="801"/>
      <c r="E219" s="555" t="str">
        <f>IF(E216=0,"--",VLOOKUP(SUM(F194:F196)*0.001,C211:D217,2,1))</f>
        <v>F</v>
      </c>
      <c r="F219" s="596"/>
      <c r="G219" s="595"/>
      <c r="H219" s="629"/>
    </row>
    <row r="220" spans="1:8" ht="15.75">
      <c r="A220" s="803"/>
      <c r="B220" s="796" t="s">
        <v>461</v>
      </c>
      <c r="C220" s="797"/>
      <c r="D220" s="798"/>
      <c r="E220" s="607" t="str">
        <f>IF(E216=0,"--",VLOOKUP(F207*0.001,C211:D217,2,1))</f>
        <v>F</v>
      </c>
      <c r="F220" s="596"/>
      <c r="G220" s="595"/>
      <c r="H220" s="629"/>
    </row>
    <row r="221" spans="1:8" ht="13.5" thickBot="1">
      <c r="A221" s="566" t="s">
        <v>214</v>
      </c>
      <c r="B221" s="567"/>
      <c r="C221" s="567"/>
      <c r="D221" s="567"/>
      <c r="E221" s="567"/>
      <c r="F221" s="567"/>
      <c r="G221" s="594"/>
      <c r="H221" s="630"/>
    </row>
    <row r="222" spans="1:8" ht="13.5" thickBot="1">
      <c r="H222" s="629"/>
    </row>
    <row r="223" spans="1:8" ht="15.75">
      <c r="A223" s="785" t="str">
        <f>TranslationInterface!E74</f>
        <v>ESTIMACIÓN COSTES</v>
      </c>
      <c r="B223" s="786"/>
      <c r="C223" s="786"/>
      <c r="D223" s="786"/>
      <c r="E223" s="786"/>
      <c r="F223" s="786"/>
      <c r="G223" s="787"/>
      <c r="H223" s="629"/>
    </row>
    <row r="224" spans="1:8">
      <c r="A224" s="474"/>
      <c r="B224" s="476"/>
      <c r="C224" s="476"/>
      <c r="D224" s="476"/>
      <c r="E224" s="476"/>
      <c r="F224" s="476"/>
      <c r="G224" s="475"/>
      <c r="H224" s="629"/>
    </row>
    <row r="225" spans="1:8" ht="15">
      <c r="A225" s="500"/>
      <c r="B225" s="506" t="str">
        <f>TranslationInterface!E26</f>
        <v>Sur</v>
      </c>
      <c r="C225" s="690" t="str">
        <f>TranslationInterface!E27</f>
        <v>Sur Este</v>
      </c>
      <c r="D225" s="690" t="str">
        <f>TranslationInterface!E28</f>
        <v>Este</v>
      </c>
      <c r="E225" s="690" t="str">
        <f>TranslationInterface!E29</f>
        <v>Norte/NEste / NOeste</v>
      </c>
      <c r="F225" s="690" t="str">
        <f>TranslationInterface!E30</f>
        <v>Oeste</v>
      </c>
      <c r="G225" s="691" t="str">
        <f>TranslationInterface!E31</f>
        <v>Sur Oeste</v>
      </c>
      <c r="H225" s="629"/>
    </row>
    <row r="226" spans="1:8">
      <c r="A226" s="508" t="str">
        <f>TranslationInterface!E75</f>
        <v>Paredes opacas (€)</v>
      </c>
      <c r="B226" s="501">
        <f>B41</f>
        <v>0</v>
      </c>
      <c r="C226" s="501">
        <f t="shared" ref="C226:G226" si="14">C41</f>
        <v>0</v>
      </c>
      <c r="D226" s="501">
        <f t="shared" si="14"/>
        <v>0</v>
      </c>
      <c r="E226" s="501">
        <f t="shared" si="14"/>
        <v>0</v>
      </c>
      <c r="F226" s="501">
        <f t="shared" si="14"/>
        <v>0</v>
      </c>
      <c r="G226" s="509">
        <f t="shared" si="14"/>
        <v>0</v>
      </c>
      <c r="H226" s="629"/>
    </row>
    <row r="227" spans="1:8">
      <c r="A227" s="508" t="str">
        <f>TranslationInterface!E76</f>
        <v>Huecos (€)</v>
      </c>
      <c r="B227" s="501">
        <f>B47</f>
        <v>0</v>
      </c>
      <c r="C227" s="501">
        <f t="shared" ref="C227:G227" si="15">C47</f>
        <v>0</v>
      </c>
      <c r="D227" s="501">
        <f t="shared" si="15"/>
        <v>0</v>
      </c>
      <c r="E227" s="501">
        <f t="shared" si="15"/>
        <v>0</v>
      </c>
      <c r="F227" s="501">
        <f t="shared" si="15"/>
        <v>0</v>
      </c>
      <c r="G227" s="509">
        <f t="shared" si="15"/>
        <v>0</v>
      </c>
      <c r="H227" s="629"/>
    </row>
    <row r="228" spans="1:8">
      <c r="A228" s="508" t="s">
        <v>480</v>
      </c>
      <c r="B228" s="501">
        <f>B226+B227</f>
        <v>0</v>
      </c>
      <c r="C228" s="501">
        <f t="shared" ref="C228:G228" si="16">C226+C227</f>
        <v>0</v>
      </c>
      <c r="D228" s="501">
        <f t="shared" si="16"/>
        <v>0</v>
      </c>
      <c r="E228" s="501">
        <f t="shared" si="16"/>
        <v>0</v>
      </c>
      <c r="F228" s="501">
        <f t="shared" si="16"/>
        <v>0</v>
      </c>
      <c r="G228" s="509">
        <f t="shared" si="16"/>
        <v>0</v>
      </c>
      <c r="H228" s="629"/>
    </row>
    <row r="229" spans="1:8">
      <c r="A229" s="474"/>
      <c r="B229" s="502" t="str">
        <f>TranslationInterface!E46</f>
        <v>Cubierta</v>
      </c>
      <c r="C229" s="502" t="str">
        <f>TranslationInterface!E47</f>
        <v>Solera</v>
      </c>
      <c r="D229" s="503" t="str">
        <f>TranslationInterface!E48</f>
        <v>Paredes sin radiación solar ( suelos, sin exposición solar)</v>
      </c>
      <c r="E229" s="510"/>
      <c r="F229" s="510"/>
      <c r="G229" s="511"/>
      <c r="H229" s="629"/>
    </row>
    <row r="230" spans="1:8">
      <c r="A230" s="508" t="str">
        <f>TranslationInterface!E75</f>
        <v>Paredes opacas (€)</v>
      </c>
      <c r="B230" s="501">
        <f>B78</f>
        <v>0</v>
      </c>
      <c r="C230" s="501">
        <f t="shared" ref="C230:D230" si="17">C78</f>
        <v>0</v>
      </c>
      <c r="D230" s="501">
        <f t="shared" si="17"/>
        <v>0</v>
      </c>
      <c r="E230" s="510"/>
      <c r="F230" s="510"/>
      <c r="G230" s="511"/>
      <c r="H230" s="629"/>
    </row>
    <row r="231" spans="1:8">
      <c r="A231" s="508" t="str">
        <f>TranslationInterface!E76</f>
        <v>Huecos (€)</v>
      </c>
      <c r="B231" s="501">
        <f>B84</f>
        <v>0</v>
      </c>
      <c r="C231" s="504" t="s">
        <v>211</v>
      </c>
      <c r="D231" s="501">
        <f t="shared" ref="D231" si="18">D84</f>
        <v>0</v>
      </c>
      <c r="E231" s="510"/>
      <c r="F231" s="510"/>
      <c r="G231" s="511"/>
    </row>
    <row r="232" spans="1:8">
      <c r="A232" s="508" t="s">
        <v>480</v>
      </c>
      <c r="B232" s="505">
        <f>B230+B231</f>
        <v>0</v>
      </c>
      <c r="C232" s="505">
        <f>C230</f>
        <v>0</v>
      </c>
      <c r="D232" s="505">
        <f t="shared" ref="D232" si="19">D230+D231</f>
        <v>0</v>
      </c>
      <c r="E232" s="510"/>
      <c r="F232" s="510"/>
      <c r="G232" s="511"/>
    </row>
    <row r="233" spans="1:8">
      <c r="A233" s="474"/>
      <c r="B233" s="506" t="str">
        <f>B91</f>
        <v>wall 1</v>
      </c>
      <c r="C233" s="506" t="str">
        <f t="shared" ref="C233:E233" si="20">C91</f>
        <v>wall 2</v>
      </c>
      <c r="D233" s="506" t="str">
        <f t="shared" si="20"/>
        <v>wall 3</v>
      </c>
      <c r="E233" s="506" t="str">
        <f t="shared" si="20"/>
        <v>wall 4</v>
      </c>
      <c r="F233" s="476"/>
      <c r="G233" s="475"/>
    </row>
    <row r="234" spans="1:8">
      <c r="A234" s="512" t="str">
        <f>TranslationInterface!E75</f>
        <v>Paredes opacas (€)</v>
      </c>
      <c r="B234" s="507">
        <f>B112</f>
        <v>0</v>
      </c>
      <c r="C234" s="507">
        <f t="shared" ref="C234:E234" si="21">C112</f>
        <v>0</v>
      </c>
      <c r="D234" s="507">
        <f t="shared" si="21"/>
        <v>0</v>
      </c>
      <c r="E234" s="507">
        <f t="shared" si="21"/>
        <v>0</v>
      </c>
      <c r="F234" s="476"/>
      <c r="G234" s="475"/>
    </row>
    <row r="235" spans="1:8">
      <c r="A235" s="512" t="str">
        <f>TranslationInterface!E76</f>
        <v>Huecos (€)</v>
      </c>
      <c r="B235" s="507">
        <f>B117</f>
        <v>0</v>
      </c>
      <c r="C235" s="507">
        <f t="shared" ref="C235:E235" si="22">C117</f>
        <v>0</v>
      </c>
      <c r="D235" s="507">
        <f t="shared" si="22"/>
        <v>0</v>
      </c>
      <c r="E235" s="507">
        <f t="shared" si="22"/>
        <v>0</v>
      </c>
      <c r="F235" s="476"/>
      <c r="G235" s="475"/>
    </row>
    <row r="236" spans="1:8">
      <c r="A236" s="512" t="s">
        <v>480</v>
      </c>
      <c r="B236" s="507">
        <f>B234+B235</f>
        <v>0</v>
      </c>
      <c r="C236" s="507">
        <f t="shared" ref="C236:E236" si="23">C234+C235</f>
        <v>0</v>
      </c>
      <c r="D236" s="507">
        <f t="shared" si="23"/>
        <v>0</v>
      </c>
      <c r="E236" s="507">
        <f t="shared" si="23"/>
        <v>0</v>
      </c>
      <c r="F236" s="476"/>
      <c r="G236" s="475"/>
    </row>
    <row r="237" spans="1:8">
      <c r="A237" s="474"/>
      <c r="B237" s="476"/>
      <c r="C237" s="476"/>
      <c r="D237" s="476"/>
      <c r="E237" s="476"/>
      <c r="F237" s="476"/>
      <c r="G237" s="475"/>
    </row>
    <row r="238" spans="1:8" ht="15.75">
      <c r="A238" s="553" t="s">
        <v>360</v>
      </c>
      <c r="B238" s="516">
        <f>SUM(B228:G228)+SUM(B232:D232)+SUM(B236:E236)</f>
        <v>0</v>
      </c>
      <c r="C238" s="523" t="s">
        <v>441</v>
      </c>
      <c r="D238" s="689" t="str">
        <f>TranslationInterface!E81</f>
        <v>Tiempo de financiación</v>
      </c>
      <c r="E238" s="292">
        <v>30</v>
      </c>
      <c r="F238" s="692" t="s">
        <v>817</v>
      </c>
      <c r="G238" s="475"/>
    </row>
    <row r="239" spans="1:8" ht="25.5">
      <c r="A239" s="554" t="str">
        <f>TranslationInterface!E79</f>
        <v>Costes relativos por m2 (superficie interior)</v>
      </c>
      <c r="B239" s="517">
        <f>B238/B6</f>
        <v>0</v>
      </c>
      <c r="C239" s="523" t="s">
        <v>442</v>
      </c>
      <c r="D239" s="524" t="str">
        <f>TranslationInterface!E82</f>
        <v>Coste total mensual</v>
      </c>
      <c r="E239" s="517">
        <f>(B239-(G198-G206)*E238)/(E238*12)</f>
        <v>0</v>
      </c>
      <c r="F239" s="525" t="s">
        <v>828</v>
      </c>
      <c r="G239" s="475"/>
    </row>
    <row r="240" spans="1:8">
      <c r="A240" s="513"/>
      <c r="B240" s="515"/>
      <c r="C240" s="514"/>
      <c r="D240" s="476"/>
      <c r="E240" s="507">
        <f>E239*B6</f>
        <v>0</v>
      </c>
      <c r="F240" s="693" t="s">
        <v>829</v>
      </c>
      <c r="G240" s="475"/>
    </row>
    <row r="241" spans="1:7" ht="15.75">
      <c r="A241" s="554" t="str">
        <f>TranslationInterface!E80</f>
        <v>Tiempo de recuperación simple</v>
      </c>
      <c r="B241" s="517" t="str">
        <f>IF(G198-G206=0,"--",B239/(G198-G206))</f>
        <v>--</v>
      </c>
      <c r="C241" s="523" t="s">
        <v>817</v>
      </c>
      <c r="D241" s="476"/>
      <c r="E241" s="476"/>
      <c r="F241" s="476"/>
      <c r="G241" s="475"/>
    </row>
    <row r="242" spans="1:7" ht="13.5" thickBot="1">
      <c r="A242" s="477" t="s">
        <v>214</v>
      </c>
      <c r="B242" s="478"/>
      <c r="C242" s="478"/>
      <c r="D242" s="478"/>
      <c r="E242" s="478"/>
      <c r="F242" s="478"/>
      <c r="G242" s="479"/>
    </row>
  </sheetData>
  <sheetProtection password="D60A" sheet="1" objects="1" scenarios="1"/>
  <mergeCells count="42">
    <mergeCell ref="A223:G223"/>
    <mergeCell ref="B200:F200"/>
    <mergeCell ref="B166:F166"/>
    <mergeCell ref="B180:F180"/>
    <mergeCell ref="C169:F169"/>
    <mergeCell ref="C181:F181"/>
    <mergeCell ref="B208:F208"/>
    <mergeCell ref="B220:D220"/>
    <mergeCell ref="C179:F179"/>
    <mergeCell ref="B219:D219"/>
    <mergeCell ref="A209:A220"/>
    <mergeCell ref="A1:G1"/>
    <mergeCell ref="A2:G2"/>
    <mergeCell ref="A3:G3"/>
    <mergeCell ref="A15:G15"/>
    <mergeCell ref="A90:G90"/>
    <mergeCell ref="B4:F4"/>
    <mergeCell ref="B6:C6"/>
    <mergeCell ref="B7:C7"/>
    <mergeCell ref="F10:G10"/>
    <mergeCell ref="F12:G12"/>
    <mergeCell ref="F13:G13"/>
    <mergeCell ref="A29:G29"/>
    <mergeCell ref="A19:G19"/>
    <mergeCell ref="A56:D56"/>
    <mergeCell ref="A66:D66"/>
    <mergeCell ref="A95:E95"/>
    <mergeCell ref="C187:F187"/>
    <mergeCell ref="B192:F192"/>
    <mergeCell ref="C170:F170"/>
    <mergeCell ref="C171:F171"/>
    <mergeCell ref="C172:F172"/>
    <mergeCell ref="C173:F173"/>
    <mergeCell ref="C174:F174"/>
    <mergeCell ref="C182:F182"/>
    <mergeCell ref="C183:F183"/>
    <mergeCell ref="C184:F184"/>
    <mergeCell ref="C185:F185"/>
    <mergeCell ref="C186:F186"/>
    <mergeCell ref="A165:G165"/>
    <mergeCell ref="A100:E100"/>
    <mergeCell ref="B178:F178"/>
  </mergeCells>
  <dataValidations count="3">
    <dataValidation type="list" allowBlank="1" showInputMessage="1" showErrorMessage="1" sqref="C209">
      <formula1>"Unifamiliar, Bloque"</formula1>
    </dataValidation>
    <dataValidation type="list" allowBlank="1" showInputMessage="1" showErrorMessage="1" sqref="C171:F171">
      <formula1>$I$145:$I$160</formula1>
    </dataValidation>
    <dataValidation type="list" allowBlank="1" showInputMessage="1" showErrorMessage="1" sqref="C174:F174">
      <formula1>$I$176:$I$190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Drop Down 4">
              <controlPr defaultSize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Drop Down 7">
              <controlPr defaultSize="0" autoLine="0" autoPict="0">
                <anchor moveWithCells="1">
                  <from>
                    <xdr:col>2</xdr:col>
                    <xdr:colOff>0</xdr:colOff>
                    <xdr:row>49</xdr:row>
                    <xdr:rowOff>0</xdr:rowOff>
                  </from>
                  <to>
                    <xdr:col>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Drop Down 8">
              <controlPr defaultSize="0" autoLine="0" autoPict="0">
                <anchor moveWithCells="1">
                  <from>
                    <xdr:col>3</xdr:col>
                    <xdr:colOff>0</xdr:colOff>
                    <xdr:row>49</xdr:row>
                    <xdr:rowOff>0</xdr:rowOff>
                  </from>
                  <to>
                    <xdr:col>4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Drop Down 9">
              <controlPr defaultSize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Drop Down 10">
              <controlPr defaultSize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Drop Down 11">
              <controlPr defaultSize="0" autoLine="0" autoPict="0">
                <anchor mov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Drop Down 12">
              <controlPr defaultSize="0" autoLine="0" autoPict="0">
                <anchor moveWithCells="1">
                  <from>
                    <xdr:col>1</xdr:col>
                    <xdr:colOff>0</xdr:colOff>
                    <xdr:row>85</xdr:row>
                    <xdr:rowOff>200025</xdr:rowOff>
                  </from>
                  <to>
                    <xdr:col>2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Drop Down 13">
              <controlPr defaultSize="0" autoLine="0" autoPict="0">
                <anchor moveWithCells="1">
                  <from>
                    <xdr:col>3</xdr:col>
                    <xdr:colOff>0</xdr:colOff>
                    <xdr:row>85</xdr:row>
                    <xdr:rowOff>200025</xdr:rowOff>
                  </from>
                  <to>
                    <xdr:col>4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6" name="Drop Down 32">
              <controlPr defaultSize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7" name="Drop Down 33">
              <controlPr defaultSize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8" name="Drop Down 34">
              <controlPr defaultSize="0" autoLine="0" autoPict="0">
                <anchor mov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9" name="Drop Down 35">
              <controlPr defaultSize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0" name="Drop Down 36">
              <controlPr defaultSize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1" name="Drop Down 37">
              <controlPr defaultSize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2" name="Drop Down 38">
              <controlPr defaultSize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2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3" name="Drop Down 39">
              <controlPr defaultSize="0" autoLine="0" autoPict="0">
                <anchor moveWithCells="1">
                  <from>
                    <xdr:col>3</xdr:col>
                    <xdr:colOff>0</xdr:colOff>
                    <xdr:row>63</xdr:row>
                    <xdr:rowOff>0</xdr:rowOff>
                  </from>
                  <to>
                    <xdr:col>4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4" name="Drop Down 44">
              <controlPr defaultSize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25" name="Drop Down 45">
              <controlPr defaultSize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26" name="Drop Down 100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27" name="Drop Down 101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28" name="Drop Down 102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29" name="Drop Down 103">
              <controlPr defaultSize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30" name="Drop Down 104">
              <controlPr defaultSize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31" name="Drop Down 105">
              <controlPr defaultSize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32" name="Drop Down 111">
              <controlPr defaultSize="0" autoLine="0" autoPict="0">
                <anchor moveWithCells="1">
                  <from>
                    <xdr:col>1</xdr:col>
                    <xdr:colOff>0</xdr:colOff>
                    <xdr:row>56</xdr:row>
                    <xdr:rowOff>0</xdr:rowOff>
                  </from>
                  <to>
                    <xdr:col>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33" name="Drop Down 113">
              <controlPr defaultSize="0" autoLine="0" autoPict="0">
                <anchor moveWithCells="1">
                  <from>
                    <xdr:col>2</xdr:col>
                    <xdr:colOff>0</xdr:colOff>
                    <xdr:row>56</xdr:row>
                    <xdr:rowOff>0</xdr:rowOff>
                  </from>
                  <to>
                    <xdr:col>3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34" name="Drop Down 115">
              <controlPr defaultSize="0" autoLine="0" autoPict="0">
                <anchor moveWithCells="1">
                  <from>
                    <xdr:col>3</xdr:col>
                    <xdr:colOff>0</xdr:colOff>
                    <xdr:row>56</xdr:row>
                    <xdr:rowOff>0</xdr:rowOff>
                  </from>
                  <to>
                    <xdr:col>4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35" name="Drop Down 117">
              <controlPr defaultSize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2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36" name="Drop Down 118">
              <controlPr defaultSize="0" autoLine="0" autoPict="0">
                <anchor moveWithCells="1">
                  <from>
                    <xdr:col>2</xdr:col>
                    <xdr:colOff>0</xdr:colOff>
                    <xdr:row>95</xdr:row>
                    <xdr:rowOff>0</xdr:rowOff>
                  </from>
                  <to>
                    <xdr:col>3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37" name="Drop Down 119">
              <controlPr defaultSize="0" autoLine="0" autoPict="0">
                <anchor moveWithCells="1">
                  <from>
                    <xdr:col>3</xdr:col>
                    <xdr:colOff>0</xdr:colOff>
                    <xdr:row>95</xdr:row>
                    <xdr:rowOff>0</xdr:rowOff>
                  </from>
                  <to>
                    <xdr:col>4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38" name="Drop Down 120">
              <controlPr defaultSize="0" autoLine="0" autoPict="0">
                <anchor moveWithCells="1">
                  <from>
                    <xdr:col>4</xdr:col>
                    <xdr:colOff>0</xdr:colOff>
                    <xdr:row>95</xdr:row>
                    <xdr:rowOff>0</xdr:rowOff>
                  </from>
                  <to>
                    <xdr:col>5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39" name="Drop Down 138">
              <controlPr defaultSize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40" name="Drop Down 139">
              <controlPr defaultSize="0" autoLin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41" name="Drop Down 140">
              <controlPr defaultSize="0" autoLine="0" autoPict="0">
                <anchor mov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42" name="Drop Down 141">
              <controlPr defaultSize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5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43" name="Drop Down 142">
              <controlPr defaultSize="0" autoLine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44" name="Drop Down 143">
              <controlPr defaultSize="0" autoLine="0" autoPict="0">
                <anchor mov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45" name="Drop Down 161">
              <controlPr defaultSize="0" autoLine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46" name="Drop Down 163">
              <controlPr defaultSize="0" autoLine="0" autoPict="0">
                <anchor moveWithCells="1">
                  <from>
                    <xdr:col>2</xdr:col>
                    <xdr:colOff>0</xdr:colOff>
                    <xdr:row>66</xdr:row>
                    <xdr:rowOff>0</xdr:rowOff>
                  </from>
                  <to>
                    <xdr:col>3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47" name="Drop Down 165">
              <controlPr defaultSize="0" autoLine="0" autoPict="0">
                <anchor moveWithCells="1">
                  <from>
                    <xdr:col>3</xdr:col>
                    <xdr:colOff>0</xdr:colOff>
                    <xdr:row>66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48" name="Drop Down 167">
              <controlPr defaultSize="0" autoLine="0" autoPict="0">
                <anchor moveWithCells="1">
                  <from>
                    <xdr:col>1</xdr:col>
                    <xdr:colOff>0</xdr:colOff>
                    <xdr:row>100</xdr:row>
                    <xdr:rowOff>0</xdr:rowOff>
                  </from>
                  <to>
                    <xdr:col>2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49" name="Drop Down 169">
              <controlPr defaultSize="0" autoLine="0" autoPict="0">
                <anchor moveWithCells="1">
                  <from>
                    <xdr:col>2</xdr:col>
                    <xdr:colOff>0</xdr:colOff>
                    <xdr:row>100</xdr:row>
                    <xdr:rowOff>0</xdr:rowOff>
                  </from>
                  <to>
                    <xdr:col>3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50" name="Drop Down 171">
              <controlPr defaultSize="0" autoLine="0" autoPict="0">
                <anchor moveWithCells="1">
                  <from>
                    <xdr:col>3</xdr:col>
                    <xdr:colOff>0</xdr:colOff>
                    <xdr:row>100</xdr:row>
                    <xdr:rowOff>0</xdr:rowOff>
                  </from>
                  <to>
                    <xdr:col>4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51" name="Drop Down 173">
              <controlPr defaultSize="0" autoLine="0" autoPict="0">
                <anchor moveWithCells="1">
                  <from>
                    <xdr:col>4</xdr:col>
                    <xdr:colOff>0</xdr:colOff>
                    <xdr:row>100</xdr:row>
                    <xdr:rowOff>0</xdr:rowOff>
                  </from>
                  <to>
                    <xdr:col>5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52" name="Drop Down 205">
              <controlPr defaultSize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53" name="Drop Down 212">
              <controlPr defaultSize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54" name="Drop Down 213">
              <controlPr defaultSize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55" name="Drop Down 214">
              <controlPr defaultSize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56" name="Drop Down 215">
              <controlPr defaultSize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57" name="Drop Down 216">
              <controlPr defaultSize="0" autoLine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58" name="Drop Down 217">
              <controlPr defaultSize="0" autoLine="0" autoPict="0">
                <anchor moveWithCells="1">
                  <from>
                    <xdr:col>1</xdr:col>
                    <xdr:colOff>0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59" name="Drop Down 218">
              <controlPr defaultSize="0" autoLine="0" autoPict="0">
                <anchor moveWithCells="1">
                  <from>
                    <xdr:col>2</xdr:col>
                    <xdr:colOff>0</xdr:colOff>
                    <xdr:row>47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60" name="Drop Down 219">
              <controlPr defaultSize="0" autoLine="0" autoPict="0">
                <anchor mov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61" name="Drop Down 220">
              <controlPr defaultSize="0" autoLine="0" autoPict="0">
                <anchor moveWithCells="1">
                  <from>
                    <xdr:col>4</xdr:col>
                    <xdr:colOff>0</xdr:colOff>
                    <xdr:row>47</xdr:row>
                    <xdr:rowOff>0</xdr:rowOff>
                  </from>
                  <to>
                    <xdr:col>5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62" name="Drop Down 221">
              <controlPr defaultSize="0" autoLine="0" autoPict="0">
                <anchor moveWithCells="1">
                  <from>
                    <xdr:col>5</xdr:col>
                    <xdr:colOff>0</xdr:colOff>
                    <xdr:row>47</xdr:row>
                    <xdr:rowOff>0</xdr:rowOff>
                  </from>
                  <to>
                    <xdr:col>6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63" name="Drop Down 222">
              <controlPr defaultSize="0" autoLine="0" autoPict="0">
                <anchor mov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64" name="Drop Down 228">
              <controlPr defaultSize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2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65" name="Drop Down 229">
              <controlPr defaultSize="0" autoLine="0" autoPict="0">
                <anchor moveWithCells="1">
                  <from>
                    <xdr:col>3</xdr:col>
                    <xdr:colOff>0</xdr:colOff>
                    <xdr:row>61</xdr:row>
                    <xdr:rowOff>0</xdr:rowOff>
                  </from>
                  <to>
                    <xdr:col>4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66" name="Drop Down 231">
              <controlPr defaultSize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2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67" name="Drop Down 280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68" name="Drop Down 282">
              <controlPr defaultSize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69" name="Drop Down 283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70" name="Drop Down 284">
              <controlPr defaultSize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71" name="Drop Down 285">
              <controlPr defaultSize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72" name="Drop Down 286">
              <controlPr defaultSize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73" name="Drop Down 287">
              <controlPr defaultSize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74" name="Drop Down 288">
              <controlPr defaultSize="0" autoLine="0" autoPict="0">
                <anchor mov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3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75" name="Drop Down 289">
              <controlPr defaultSize="0" autoLine="0" autoPict="0">
                <anchor moveWithCells="1">
                  <from>
                    <xdr:col>3</xdr:col>
                    <xdr:colOff>0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76" name="Drop Down 290">
              <controlPr defaultSize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77" name="Drop Down 291">
              <controlPr defaultSize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78" name="Drop Down 292">
              <controlPr defaultSize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79" name="Drop Down 293">
              <controlPr defaultSize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80" name="Drop Down 294">
              <controlPr defaultSize="0" autoLine="0" autoPict="0">
                <anchor moveWithCells="1">
                  <from>
                    <xdr:col>3</xdr:col>
                    <xdr:colOff>0</xdr:colOff>
                    <xdr:row>58</xdr:row>
                    <xdr:rowOff>0</xdr:rowOff>
                  </from>
                  <to>
                    <xdr:col>4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81" name="Drop Down 295">
              <controlPr defaultSize="0" autoLine="0" autoPict="0">
                <anchor moveWithCells="1">
                  <from>
                    <xdr:col>1</xdr:col>
                    <xdr:colOff>0</xdr:colOff>
                    <xdr:row>97</xdr:row>
                    <xdr:rowOff>0</xdr:rowOff>
                  </from>
                  <to>
                    <xdr:col>2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82" name="Drop Down 296">
              <controlPr defaultSize="0" autoLine="0" autoPict="0">
                <anchor moveWithCells="1">
                  <from>
                    <xdr:col>2</xdr:col>
                    <xdr:colOff>0</xdr:colOff>
                    <xdr:row>97</xdr:row>
                    <xdr:rowOff>0</xdr:rowOff>
                  </from>
                  <to>
                    <xdr:col>3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83" name="Drop Down 297">
              <controlPr defaultSize="0" autoLine="0" autoPict="0">
                <anchor moveWithCells="1">
                  <from>
                    <xdr:col>3</xdr:col>
                    <xdr:colOff>0</xdr:colOff>
                    <xdr:row>97</xdr:row>
                    <xdr:rowOff>0</xdr:rowOff>
                  </from>
                  <to>
                    <xdr:col>4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84" name="Drop Down 298">
              <controlPr defaultSize="0" autoLine="0" autoPict="0">
                <anchor moveWithCells="1">
                  <from>
                    <xdr:col>4</xdr:col>
                    <xdr:colOff>0</xdr:colOff>
                    <xdr:row>97</xdr:row>
                    <xdr:rowOff>0</xdr:rowOff>
                  </from>
                  <to>
                    <xdr:col>5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85" name="Drop Down 299">
              <controlPr defaultSize="0" autoLine="0" autoPict="0">
                <anchor moveWithCells="1">
                  <from>
                    <xdr:col>1</xdr:col>
                    <xdr:colOff>0</xdr:colOff>
                    <xdr:row>112</xdr:row>
                    <xdr:rowOff>0</xdr:rowOff>
                  </from>
                  <to>
                    <xdr:col>2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86" name="Drop Down 300">
              <controlPr defaultSize="0" autoLine="0" autoPict="0">
                <anchor moveWithCells="1">
                  <from>
                    <xdr:col>2</xdr:col>
                    <xdr:colOff>0</xdr:colOff>
                    <xdr:row>112</xdr:row>
                    <xdr:rowOff>0</xdr:rowOff>
                  </from>
                  <to>
                    <xdr:col>3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87" name="Drop Down 301">
              <controlPr defaultSize="0" autoLine="0" autoPict="0">
                <anchor moveWithCells="1">
                  <from>
                    <xdr:col>3</xdr:col>
                    <xdr:colOff>0</xdr:colOff>
                    <xdr:row>112</xdr:row>
                    <xdr:rowOff>0</xdr:rowOff>
                  </from>
                  <to>
                    <xdr:col>4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88" name="Drop Down 302">
              <controlPr defaultSize="0" autoLine="0" autoPict="0">
                <anchor moveWithCells="1">
                  <from>
                    <xdr:col>4</xdr:col>
                    <xdr:colOff>0</xdr:colOff>
                    <xdr:row>112</xdr:row>
                    <xdr:rowOff>0</xdr:rowOff>
                  </from>
                  <to>
                    <xdr:col>5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89" name="Drop Down 303">
              <controlPr defaultSize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2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90" name="Drop Down 304">
              <controlPr defaultSize="0" autoLine="0" autoPict="0">
                <anchor moveWithCells="1">
                  <from>
                    <xdr:col>3</xdr:col>
                    <xdr:colOff>0</xdr:colOff>
                    <xdr:row>78</xdr:row>
                    <xdr:rowOff>0</xdr:rowOff>
                  </from>
                  <to>
                    <xdr:col>4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91" name="Drop Down 311">
              <controlPr defaultSize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2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92" name="Drop Down 312">
              <controlPr defaultSize="0" autoLine="0" autoPict="0">
                <anchor moveWithCells="1">
                  <from>
                    <xdr:col>2</xdr:col>
                    <xdr:colOff>0</xdr:colOff>
                    <xdr:row>93</xdr:row>
                    <xdr:rowOff>0</xdr:rowOff>
                  </from>
                  <to>
                    <xdr:col>3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93" name="Drop Down 313">
              <controlPr defaultSize="0" autoLine="0" autoPict="0">
                <anchor moveWithCells="1">
                  <from>
                    <xdr:col>3</xdr:col>
                    <xdr:colOff>0</xdr:colOff>
                    <xdr:row>93</xdr:row>
                    <xdr:rowOff>0</xdr:rowOff>
                  </from>
                  <to>
                    <xdr:col>4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94" name="Drop Down 314">
              <controlPr defaultSize="0" autoLine="0" autoPict="0">
                <anchor moveWithCells="1">
                  <from>
                    <xdr:col>4</xdr:col>
                    <xdr:colOff>0</xdr:colOff>
                    <xdr:row>93</xdr:row>
                    <xdr:rowOff>0</xdr:rowOff>
                  </from>
                  <to>
                    <xdr:col>5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95" name="Drop Down 665">
              <controlPr defaultSize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96" name="Drop Down 666">
              <controlPr defaultSize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9" r:id="rId97" name="Drop Down 693">
              <controlPr defaultSize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0" r:id="rId98" name="Drop Down 694">
              <controlPr defaultSize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99" name="Drop Down 695">
              <controlPr defaultSize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100" name="Drop Down 696">
              <controlPr defaultSize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101" name="Drop Down 697">
              <controlPr defaultSize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102" name="Drop Down 698">
              <controlPr defaultSize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8" r:id="rId103" name="Drop Down 702">
              <controlPr defaultSize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2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9" r:id="rId104" name="Drop Down 703">
              <controlPr defaultSize="0" autoLine="0" autoPict="0">
                <anchor moveWithCells="1">
                  <from>
                    <xdr:col>2</xdr:col>
                    <xdr:colOff>0</xdr:colOff>
                    <xdr:row>68</xdr:row>
                    <xdr:rowOff>0</xdr:rowOff>
                  </from>
                  <to>
                    <xdr:col>3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0" r:id="rId105" name="Drop Down 704">
              <controlPr defaultSize="0" autoLine="0" autoPict="0">
                <anchor moveWithCells="1">
                  <from>
                    <xdr:col>3</xdr:col>
                    <xdr:colOff>0</xdr:colOff>
                    <xdr:row>68</xdr:row>
                    <xdr:rowOff>0</xdr:rowOff>
                  </from>
                  <to>
                    <xdr:col>4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2" r:id="rId106" name="Drop Down 706">
              <controlPr defaultSize="0" autoLine="0" autoPict="0">
                <anchor moveWithCells="1">
                  <from>
                    <xdr:col>1</xdr:col>
                    <xdr:colOff>0</xdr:colOff>
                    <xdr:row>102</xdr:row>
                    <xdr:rowOff>0</xdr:rowOff>
                  </from>
                  <to>
                    <xdr:col>2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3" r:id="rId107" name="Drop Down 707">
              <controlPr defaultSize="0" autoLine="0" autoPict="0">
                <anchor moveWithCells="1">
                  <from>
                    <xdr:col>2</xdr:col>
                    <xdr:colOff>0</xdr:colOff>
                    <xdr:row>102</xdr:row>
                    <xdr:rowOff>0</xdr:rowOff>
                  </from>
                  <to>
                    <xdr:col>3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4" r:id="rId108" name="Drop Down 708">
              <controlPr defaultSize="0" autoLine="0" autoPict="0">
                <anchor moveWithCells="1">
                  <from>
                    <xdr:col>3</xdr:col>
                    <xdr:colOff>0</xdr:colOff>
                    <xdr:row>102</xdr:row>
                    <xdr:rowOff>0</xdr:rowOff>
                  </from>
                  <to>
                    <xdr:col>4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5" r:id="rId109" name="Drop Down 709">
              <controlPr defaultSize="0" autoLine="0" autoPict="0">
                <anchor moveWithCells="1">
                  <from>
                    <xdr:col>4</xdr:col>
                    <xdr:colOff>0</xdr:colOff>
                    <xdr:row>102</xdr:row>
                    <xdr:rowOff>0</xdr:rowOff>
                  </from>
                  <to>
                    <xdr:col>5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7" r:id="rId110" name="Drop Down 711">
              <controlPr defaultSize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8" r:id="rId111" name="Drop Down 712">
              <controlPr defaultSize="0" autoLine="0" autoPict="0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9" r:id="rId112" name="Drop Down 713">
              <controlPr defaultSize="0" autoLine="0" autoPict="0">
                <anchor moveWithCells="1">
                  <from>
                    <xdr:col>3</xdr:col>
                    <xdr:colOff>0</xdr:colOff>
                    <xdr:row>37</xdr:row>
                    <xdr:rowOff>0</xdr:rowOff>
                  </from>
                  <to>
                    <xdr:col>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0" r:id="rId113" name="Drop Down 714">
              <controlPr defaultSize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1" r:id="rId114" name="Drop Down 715">
              <controlPr defaultSize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2" r:id="rId115" name="Drop Down 716">
              <controlPr defaultSize="0" autoLine="0" autoPict="0">
                <anchor mov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" r:id="rId116" name="Drop Down 721">
              <controlPr defaultSize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2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" r:id="rId117" name="Drop Down 722">
              <controlPr defaultSize="0" autoLine="0" autoPict="0">
                <anchor moveWithCells="1">
                  <from>
                    <xdr:col>2</xdr:col>
                    <xdr:colOff>0</xdr:colOff>
                    <xdr:row>74</xdr:row>
                    <xdr:rowOff>0</xdr:rowOff>
                  </from>
                  <to>
                    <xdr:col>3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" r:id="rId118" name="Drop Down 723">
              <controlPr defaultSize="0" autoLine="0" autoPict="0">
                <anchor moveWithCells="1">
                  <from>
                    <xdr:col>3</xdr:col>
                    <xdr:colOff>0</xdr:colOff>
                    <xdr:row>74</xdr:row>
                    <xdr:rowOff>0</xdr:rowOff>
                  </from>
                  <to>
                    <xdr:col>4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" r:id="rId119" name="Drop Down 725">
              <controlPr defaultSize="0" autoLine="0" autoPict="0">
                <anchor moveWithCells="1">
                  <from>
                    <xdr:col>1</xdr:col>
                    <xdr:colOff>0</xdr:colOff>
                    <xdr:row>108</xdr:row>
                    <xdr:rowOff>0</xdr:rowOff>
                  </from>
                  <to>
                    <xdr:col>2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" r:id="rId120" name="Drop Down 726">
              <controlPr defaultSize="0" autoLine="0" autoPict="0">
                <anchor moveWithCells="1">
                  <from>
                    <xdr:col>2</xdr:col>
                    <xdr:colOff>0</xdr:colOff>
                    <xdr:row>108</xdr:row>
                    <xdr:rowOff>0</xdr:rowOff>
                  </from>
                  <to>
                    <xdr:col>3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3" r:id="rId121" name="Drop Down 727">
              <controlPr defaultSize="0" autoLine="0" autoPict="0">
                <anchor moveWithCells="1">
                  <from>
                    <xdr:col>3</xdr:col>
                    <xdr:colOff>0</xdr:colOff>
                    <xdr:row>108</xdr:row>
                    <xdr:rowOff>0</xdr:rowOff>
                  </from>
                  <to>
                    <xdr:col>4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4" r:id="rId122" name="Drop Down 728">
              <controlPr defaultSize="0" autoLine="0" autoPict="0">
                <anchor moveWithCells="1">
                  <from>
                    <xdr:col>4</xdr:col>
                    <xdr:colOff>0</xdr:colOff>
                    <xdr:row>108</xdr:row>
                    <xdr:rowOff>0</xdr:rowOff>
                  </from>
                  <to>
                    <xdr:col>5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6" r:id="rId123" name="Drop Down 730">
              <controlPr defaultSize="0" autoLine="0" autoPict="0">
                <anchor moveWithCells="1">
                  <from>
                    <xdr:col>1</xdr:col>
                    <xdr:colOff>0</xdr:colOff>
                    <xdr:row>44</xdr:row>
                    <xdr:rowOff>0</xdr:rowOff>
                  </from>
                  <to>
                    <xdr:col>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7" r:id="rId124" name="Drop Down 731">
              <controlPr defaultSize="0" autoLin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8" r:id="rId125" name="Drop Down 732">
              <controlPr defaultSize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9" r:id="rId126" name="Drop Down 733">
              <controlPr defaultSize="0" autoLine="0" autoPict="0">
                <anchor moveWithCells="1">
                  <from>
                    <xdr:col>4</xdr:col>
                    <xdr:colOff>0</xdr:colOff>
                    <xdr:row>44</xdr:row>
                    <xdr:rowOff>0</xdr:rowOff>
                  </from>
                  <to>
                    <xdr:col>5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0" r:id="rId127" name="Drop Down 734">
              <controlPr defaultSize="0" autoLine="0" autoPict="0">
                <anchor moveWithCells="1">
                  <from>
                    <xdr:col>5</xdr:col>
                    <xdr:colOff>0</xdr:colOff>
                    <xdr:row>44</xdr:row>
                    <xdr:rowOff>0</xdr:rowOff>
                  </from>
                  <to>
                    <xdr:col>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1" r:id="rId128" name="Drop Down 735">
              <controlPr defaultSize="0" autoLine="0" autoPict="0">
                <anchor mov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3" r:id="rId129" name="Drop Down 737">
              <controlPr defaultSize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2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4" r:id="rId130" name="Drop Down 738">
              <controlPr defaultSize="0" autoLine="0" autoPict="0">
                <anchor moveWithCells="1">
                  <from>
                    <xdr:col>3</xdr:col>
                    <xdr:colOff>0</xdr:colOff>
                    <xdr:row>81</xdr:row>
                    <xdr:rowOff>0</xdr:rowOff>
                  </from>
                  <to>
                    <xdr:col>4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6" r:id="rId131" name="Drop Down 740">
              <controlPr defaultSize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2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7" r:id="rId132" name="Drop Down 741">
              <controlPr defaultSize="0" autoLine="0" autoPict="0">
                <anchor moveWithCells="1">
                  <from>
                    <xdr:col>2</xdr:col>
                    <xdr:colOff>0</xdr:colOff>
                    <xdr:row>114</xdr:row>
                    <xdr:rowOff>0</xdr:rowOff>
                  </from>
                  <to>
                    <xdr:col>3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8" r:id="rId133" name="Drop Down 742">
              <controlPr defaultSize="0" autoLine="0" autoPict="0">
                <anchor moveWithCells="1">
                  <from>
                    <xdr:col>3</xdr:col>
                    <xdr:colOff>0</xdr:colOff>
                    <xdr:row>114</xdr:row>
                    <xdr:rowOff>0</xdr:rowOff>
                  </from>
                  <to>
                    <xdr:col>4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9" r:id="rId134" name="Drop Down 743">
              <controlPr defaultSize="0" autoLine="0" autoPict="0">
                <anchor moveWithCells="1">
                  <from>
                    <xdr:col>4</xdr:col>
                    <xdr:colOff>0</xdr:colOff>
                    <xdr:row>114</xdr:row>
                    <xdr:rowOff>0</xdr:rowOff>
                  </from>
                  <to>
                    <xdr:col>5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6" r:id="rId135" name="Drop Down 760">
              <controlPr defaultSize="0" autoLine="0" autoPict="0">
                <anchor moveWithCells="1">
                  <from>
                    <xdr:col>5</xdr:col>
                    <xdr:colOff>1419225</xdr:colOff>
                    <xdr:row>3</xdr:row>
                    <xdr:rowOff>0</xdr:rowOff>
                  </from>
                  <to>
                    <xdr:col>6</xdr:col>
                    <xdr:colOff>1476375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9" r:id="rId136" name="Drop Down 763">
              <controlPr defaultSize="0" autoLine="0" autoPict="0">
                <anchor moveWithCells="1">
                  <from>
                    <xdr:col>2</xdr:col>
                    <xdr:colOff>0</xdr:colOff>
                    <xdr:row>169</xdr:row>
                    <xdr:rowOff>0</xdr:rowOff>
                  </from>
                  <to>
                    <xdr:col>6</xdr:col>
                    <xdr:colOff>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0" r:id="rId137" name="Drop Down 764">
              <controlPr defaultSize="0" autoLine="0" autoPict="0">
                <anchor moveWithCells="1">
                  <from>
                    <xdr:col>2</xdr:col>
                    <xdr:colOff>0</xdr:colOff>
                    <xdr:row>171</xdr:row>
                    <xdr:rowOff>0</xdr:rowOff>
                  </from>
                  <to>
                    <xdr:col>6</xdr:col>
                    <xdr:colOff>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1" r:id="rId138" name="Drop Down 765">
              <controlPr defaultSize="0" autoLine="0" autoPict="0">
                <anchor moveWithCells="1">
                  <from>
                    <xdr:col>2</xdr:col>
                    <xdr:colOff>0</xdr:colOff>
                    <xdr:row>182</xdr:row>
                    <xdr:rowOff>0</xdr:rowOff>
                  </from>
                  <to>
                    <xdr:col>6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3" r:id="rId139" name="Drop Down 767">
              <controlPr defaultSize="0" autoLine="0" autoPict="0">
                <anchor moveWithCells="1">
                  <from>
                    <xdr:col>2</xdr:col>
                    <xdr:colOff>0</xdr:colOff>
                    <xdr:row>170</xdr:row>
                    <xdr:rowOff>0</xdr:rowOff>
                  </from>
                  <to>
                    <xdr:col>6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4" r:id="rId140" name="Drop Down 768">
              <controlPr defaultSize="0" autoLine="0" autoPict="0">
                <anchor moveWithCells="1">
                  <from>
                    <xdr:col>2</xdr:col>
                    <xdr:colOff>0</xdr:colOff>
                    <xdr:row>183</xdr:row>
                    <xdr:rowOff>0</xdr:rowOff>
                  </from>
                  <to>
                    <xdr:col>6</xdr:col>
                    <xdr:colOff>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5" r:id="rId141" name="Drop Down 769">
              <controlPr defaultSize="0" autoLine="0" autoPict="0">
                <anchor moveWithCells="1">
                  <from>
                    <xdr:col>2</xdr:col>
                    <xdr:colOff>0</xdr:colOff>
                    <xdr:row>173</xdr:row>
                    <xdr:rowOff>0</xdr:rowOff>
                  </from>
                  <to>
                    <xdr:col>6</xdr:col>
                    <xdr:colOff>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6" r:id="rId142" name="Drop Down 770">
              <controlPr defaultSize="0" autoLine="0" autoPict="0">
                <anchor moveWithCells="1">
                  <from>
                    <xdr:col>2</xdr:col>
                    <xdr:colOff>0</xdr:colOff>
                    <xdr:row>186</xdr:row>
                    <xdr:rowOff>0</xdr:rowOff>
                  </from>
                  <to>
                    <xdr:col>6</xdr:col>
                    <xdr:colOff>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7" r:id="rId143" name="Drop Down 771">
              <controlPr defaultSize="0" autoLine="0" autoPict="0">
                <anchor moveWithCells="1">
                  <from>
                    <xdr:col>2</xdr:col>
                    <xdr:colOff>0</xdr:colOff>
                    <xdr:row>184</xdr:row>
                    <xdr:rowOff>0</xdr:rowOff>
                  </from>
                  <to>
                    <xdr:col>6</xdr:col>
                    <xdr:colOff>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8" r:id="rId144" name="Drop Down 772">
              <controlPr defaultSize="0" autoLine="0" autoPict="0">
                <anchor moveWithCells="1">
                  <from>
                    <xdr:col>2</xdr:col>
                    <xdr:colOff>0</xdr:colOff>
                    <xdr:row>181</xdr:row>
                    <xdr:rowOff>0</xdr:rowOff>
                  </from>
                  <to>
                    <xdr:col>6</xdr:col>
                    <xdr:colOff>0</xdr:colOff>
                    <xdr:row>182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C67" workbookViewId="0">
      <selection activeCell="J89" sqref="J89"/>
    </sheetView>
  </sheetViews>
  <sheetFormatPr baseColWidth="10" defaultColWidth="11.42578125" defaultRowHeight="12.75"/>
  <cols>
    <col min="1" max="1" width="17" style="608" hidden="1" customWidth="1"/>
    <col min="2" max="2" width="35.28515625" style="608" hidden="1" customWidth="1"/>
    <col min="3" max="3" width="35.28515625" style="608" customWidth="1"/>
    <col min="4" max="4" width="11.85546875" style="609" customWidth="1"/>
    <col min="5" max="5" width="9.140625" style="609" bestFit="1" customWidth="1"/>
    <col min="6" max="6" width="10.85546875" style="609" bestFit="1" customWidth="1"/>
    <col min="7" max="7" width="10.42578125" style="609" bestFit="1" customWidth="1"/>
    <col min="8" max="8" width="5.42578125" style="609" bestFit="1" customWidth="1"/>
    <col min="9" max="16384" width="11.42578125" style="1"/>
  </cols>
  <sheetData>
    <row r="1" spans="1:8" ht="34.5" customHeight="1">
      <c r="A1" s="642" t="s">
        <v>484</v>
      </c>
      <c r="B1" s="642" t="s">
        <v>485</v>
      </c>
      <c r="C1" s="642"/>
      <c r="D1" s="643" t="s">
        <v>521</v>
      </c>
      <c r="E1" s="643" t="s">
        <v>518</v>
      </c>
      <c r="F1" s="643" t="s">
        <v>519</v>
      </c>
      <c r="G1" s="643" t="s">
        <v>520</v>
      </c>
      <c r="H1" s="643" t="s">
        <v>442</v>
      </c>
    </row>
    <row r="2" spans="1:8">
      <c r="A2" s="610"/>
      <c r="B2" s="610"/>
      <c r="C2" s="632" t="s">
        <v>211</v>
      </c>
      <c r="D2" s="612">
        <v>0</v>
      </c>
      <c r="E2" s="613"/>
      <c r="F2" s="612"/>
      <c r="G2" s="612"/>
      <c r="H2" s="612">
        <v>0</v>
      </c>
    </row>
    <row r="3" spans="1:8">
      <c r="A3" s="610" t="s">
        <v>486</v>
      </c>
      <c r="B3" s="610" t="s">
        <v>487</v>
      </c>
      <c r="C3" s="610" t="s">
        <v>547</v>
      </c>
      <c r="D3" s="612">
        <v>1.25</v>
      </c>
      <c r="E3" s="613">
        <v>45</v>
      </c>
      <c r="F3" s="612">
        <v>0.4</v>
      </c>
      <c r="G3" s="612">
        <v>13.5</v>
      </c>
      <c r="H3" s="612">
        <v>3.4986432000000001</v>
      </c>
    </row>
    <row r="4" spans="1:8">
      <c r="A4" s="610" t="s">
        <v>486</v>
      </c>
      <c r="B4" s="610" t="s">
        <v>487</v>
      </c>
      <c r="C4" s="610" t="s">
        <v>547</v>
      </c>
      <c r="D4" s="612">
        <v>1.25</v>
      </c>
      <c r="E4" s="613">
        <v>45</v>
      </c>
      <c r="F4" s="612">
        <v>0.6</v>
      </c>
      <c r="G4" s="612">
        <v>13.6</v>
      </c>
      <c r="H4" s="612">
        <v>3.4986432000000001</v>
      </c>
    </row>
    <row r="5" spans="1:8">
      <c r="A5" s="610" t="s">
        <v>486</v>
      </c>
      <c r="B5" s="610" t="s">
        <v>487</v>
      </c>
      <c r="C5" s="610" t="s">
        <v>548</v>
      </c>
      <c r="D5" s="612">
        <v>1.8</v>
      </c>
      <c r="E5" s="613">
        <v>65</v>
      </c>
      <c r="F5" s="612">
        <v>0.4</v>
      </c>
      <c r="G5" s="612">
        <v>10.8</v>
      </c>
      <c r="H5" s="612">
        <v>4.5558655999999997</v>
      </c>
    </row>
    <row r="6" spans="1:8">
      <c r="A6" s="610" t="s">
        <v>486</v>
      </c>
      <c r="B6" s="610" t="s">
        <v>487</v>
      </c>
      <c r="C6" s="610" t="s">
        <v>548</v>
      </c>
      <c r="D6" s="612">
        <v>1.8</v>
      </c>
      <c r="E6" s="613">
        <v>65</v>
      </c>
      <c r="F6" s="612">
        <v>0.6</v>
      </c>
      <c r="G6" s="612">
        <v>10.8</v>
      </c>
      <c r="H6" s="612">
        <v>4.5558655999999997</v>
      </c>
    </row>
    <row r="7" spans="1:8">
      <c r="A7" s="610" t="s">
        <v>486</v>
      </c>
      <c r="B7" s="610" t="s">
        <v>487</v>
      </c>
      <c r="C7" s="610" t="s">
        <v>549</v>
      </c>
      <c r="D7" s="612">
        <v>2.35</v>
      </c>
      <c r="E7" s="613">
        <v>85</v>
      </c>
      <c r="F7" s="612">
        <v>0.6</v>
      </c>
      <c r="G7" s="612">
        <v>8.1</v>
      </c>
      <c r="H7" s="612">
        <v>6.03</v>
      </c>
    </row>
    <row r="8" spans="1:8">
      <c r="A8" s="610" t="s">
        <v>486</v>
      </c>
      <c r="B8" s="610" t="s">
        <v>488</v>
      </c>
      <c r="C8" s="610" t="s">
        <v>550</v>
      </c>
      <c r="D8" s="612">
        <v>1.25</v>
      </c>
      <c r="E8" s="613">
        <v>45</v>
      </c>
      <c r="F8" s="612">
        <v>0.6</v>
      </c>
      <c r="G8" s="612">
        <v>1.35</v>
      </c>
      <c r="H8" s="612">
        <v>3.5095424000000004</v>
      </c>
    </row>
    <row r="9" spans="1:8">
      <c r="A9" s="610" t="s">
        <v>486</v>
      </c>
      <c r="B9" s="610" t="s">
        <v>488</v>
      </c>
      <c r="C9" s="610" t="s">
        <v>551</v>
      </c>
      <c r="D9" s="612">
        <v>1.8</v>
      </c>
      <c r="E9" s="613">
        <v>65</v>
      </c>
      <c r="F9" s="612">
        <v>0.6</v>
      </c>
      <c r="G9" s="612">
        <v>1.35</v>
      </c>
      <c r="H9" s="612">
        <v>5.1880192000000003</v>
      </c>
    </row>
    <row r="10" spans="1:8">
      <c r="A10" s="610" t="s">
        <v>486</v>
      </c>
      <c r="B10" s="610" t="s">
        <v>488</v>
      </c>
      <c r="C10" s="610" t="s">
        <v>629</v>
      </c>
      <c r="D10" s="612">
        <v>2.35</v>
      </c>
      <c r="E10" s="613">
        <v>85</v>
      </c>
      <c r="F10" s="612">
        <v>0.6</v>
      </c>
      <c r="G10" s="612">
        <v>1.35</v>
      </c>
      <c r="H10" s="612">
        <v>6.5</v>
      </c>
    </row>
    <row r="11" spans="1:8">
      <c r="A11" s="610" t="s">
        <v>486</v>
      </c>
      <c r="B11" s="610" t="s">
        <v>489</v>
      </c>
      <c r="C11" s="610" t="s">
        <v>641</v>
      </c>
      <c r="D11" s="612">
        <v>0.8</v>
      </c>
      <c r="E11" s="613">
        <v>30</v>
      </c>
      <c r="F11" s="612">
        <v>0.6</v>
      </c>
      <c r="G11" s="612">
        <v>1.35</v>
      </c>
      <c r="H11" s="612">
        <v>3.1825664000000002</v>
      </c>
    </row>
    <row r="12" spans="1:8">
      <c r="A12" s="610" t="s">
        <v>486</v>
      </c>
      <c r="B12" s="610" t="s">
        <v>489</v>
      </c>
      <c r="C12" s="610" t="s">
        <v>642</v>
      </c>
      <c r="D12" s="612">
        <v>1.1000000000000001</v>
      </c>
      <c r="E12" s="613">
        <v>40</v>
      </c>
      <c r="F12" s="612">
        <v>0.6</v>
      </c>
      <c r="G12" s="612">
        <v>1.35</v>
      </c>
      <c r="H12" s="612">
        <v>4.6103616000000009</v>
      </c>
    </row>
    <row r="13" spans="1:8">
      <c r="A13" s="610" t="s">
        <v>486</v>
      </c>
      <c r="B13" s="610" t="s">
        <v>489</v>
      </c>
      <c r="C13" s="610" t="s">
        <v>643</v>
      </c>
      <c r="D13" s="612">
        <v>1.35</v>
      </c>
      <c r="E13" s="613">
        <v>50</v>
      </c>
      <c r="F13" s="612">
        <v>0.6</v>
      </c>
      <c r="G13" s="612">
        <v>1.35</v>
      </c>
      <c r="H13" s="612">
        <v>5.6893824000000004</v>
      </c>
    </row>
    <row r="14" spans="1:8">
      <c r="A14" s="610" t="s">
        <v>486</v>
      </c>
      <c r="B14" s="610" t="s">
        <v>490</v>
      </c>
      <c r="C14" s="610" t="s">
        <v>630</v>
      </c>
      <c r="D14" s="612">
        <v>0.6</v>
      </c>
      <c r="E14" s="613">
        <v>20</v>
      </c>
      <c r="F14" s="612">
        <v>0.6</v>
      </c>
      <c r="G14" s="612">
        <v>1.2</v>
      </c>
      <c r="H14" s="612">
        <v>6.321536</v>
      </c>
    </row>
    <row r="15" spans="1:8">
      <c r="A15" s="610" t="s">
        <v>486</v>
      </c>
      <c r="B15" s="610" t="s">
        <v>491</v>
      </c>
      <c r="C15" s="610" t="s">
        <v>631</v>
      </c>
      <c r="D15" s="612">
        <v>1.1000000000000001</v>
      </c>
      <c r="E15" s="613">
        <v>40</v>
      </c>
      <c r="F15" s="612">
        <v>0.6</v>
      </c>
      <c r="G15" s="612">
        <v>1.35</v>
      </c>
      <c r="H15" s="612">
        <v>5.775155925</v>
      </c>
    </row>
    <row r="16" spans="1:8">
      <c r="A16" s="610" t="s">
        <v>486</v>
      </c>
      <c r="B16" s="610" t="s">
        <v>491</v>
      </c>
      <c r="C16" s="610" t="s">
        <v>632</v>
      </c>
      <c r="D16" s="612">
        <v>1.35</v>
      </c>
      <c r="E16" s="613">
        <v>50</v>
      </c>
      <c r="F16" s="612">
        <v>0.6</v>
      </c>
      <c r="G16" s="612">
        <v>1.35</v>
      </c>
      <c r="H16" s="612">
        <v>7.0070385000000002</v>
      </c>
    </row>
    <row r="17" spans="1:8">
      <c r="A17" s="610" t="s">
        <v>486</v>
      </c>
      <c r="B17" s="610" t="s">
        <v>491</v>
      </c>
      <c r="C17" s="610" t="s">
        <v>633</v>
      </c>
      <c r="D17" s="612">
        <v>1.65</v>
      </c>
      <c r="E17" s="613">
        <v>60</v>
      </c>
      <c r="F17" s="612">
        <v>0.6</v>
      </c>
      <c r="G17" s="612">
        <v>1.35</v>
      </c>
      <c r="H17" s="612">
        <v>7.6286306250000004</v>
      </c>
    </row>
    <row r="18" spans="1:8">
      <c r="A18" s="610" t="s">
        <v>486</v>
      </c>
      <c r="B18" s="610" t="s">
        <v>491</v>
      </c>
      <c r="C18" s="610" t="s">
        <v>634</v>
      </c>
      <c r="D18" s="612">
        <v>2.2000000000000002</v>
      </c>
      <c r="E18" s="613">
        <v>80</v>
      </c>
      <c r="F18" s="612">
        <v>0.6</v>
      </c>
      <c r="G18" s="612">
        <v>1.35</v>
      </c>
      <c r="H18" s="612">
        <v>8.6300000000000008</v>
      </c>
    </row>
    <row r="19" spans="1:8">
      <c r="A19" s="610" t="s">
        <v>486</v>
      </c>
      <c r="B19" s="610" t="s">
        <v>492</v>
      </c>
      <c r="C19" s="610" t="s">
        <v>635</v>
      </c>
      <c r="D19" s="612">
        <v>1.56</v>
      </c>
      <c r="E19" s="613">
        <v>50</v>
      </c>
      <c r="F19" s="612">
        <v>0.6</v>
      </c>
      <c r="G19" s="612">
        <v>1.35</v>
      </c>
      <c r="H19" s="612">
        <v>11.532150000000001</v>
      </c>
    </row>
    <row r="20" spans="1:8">
      <c r="A20" s="610" t="s">
        <v>486</v>
      </c>
      <c r="B20" s="610" t="s">
        <v>492</v>
      </c>
      <c r="C20" s="610" t="s">
        <v>636</v>
      </c>
      <c r="D20" s="612">
        <v>1.86</v>
      </c>
      <c r="E20" s="613">
        <v>60</v>
      </c>
      <c r="F20" s="612">
        <v>0.6</v>
      </c>
      <c r="G20" s="612">
        <v>1.35</v>
      </c>
      <c r="H20" s="612">
        <v>13.534500000000001</v>
      </c>
    </row>
    <row r="21" spans="1:8">
      <c r="A21" s="610" t="s">
        <v>486</v>
      </c>
      <c r="B21" s="610" t="s">
        <v>493</v>
      </c>
      <c r="C21" s="610" t="s">
        <v>637</v>
      </c>
      <c r="D21" s="612">
        <v>1.05</v>
      </c>
      <c r="E21" s="613">
        <v>40</v>
      </c>
      <c r="F21" s="612">
        <v>0.6</v>
      </c>
      <c r="G21" s="612">
        <v>13.5</v>
      </c>
      <c r="H21" s="612">
        <v>5.6334599999999995</v>
      </c>
    </row>
    <row r="22" spans="1:8">
      <c r="A22" s="610" t="s">
        <v>486</v>
      </c>
      <c r="B22" s="610" t="s">
        <v>493</v>
      </c>
      <c r="C22" s="610" t="s">
        <v>638</v>
      </c>
      <c r="D22" s="612">
        <v>1.32</v>
      </c>
      <c r="E22" s="613">
        <v>50</v>
      </c>
      <c r="F22" s="612">
        <v>0.6</v>
      </c>
      <c r="G22" s="612">
        <v>10.8</v>
      </c>
      <c r="H22" s="612">
        <v>6.4367100000000006</v>
      </c>
    </row>
    <row r="23" spans="1:8">
      <c r="A23" s="610" t="s">
        <v>486</v>
      </c>
      <c r="B23" s="610" t="s">
        <v>493</v>
      </c>
      <c r="C23" s="610" t="s">
        <v>639</v>
      </c>
      <c r="D23" s="612">
        <v>1.58</v>
      </c>
      <c r="E23" s="613">
        <v>60</v>
      </c>
      <c r="F23" s="612">
        <v>0.6</v>
      </c>
      <c r="G23" s="612">
        <v>10.8</v>
      </c>
      <c r="H23" s="612">
        <v>7.2506700000000004</v>
      </c>
    </row>
    <row r="24" spans="1:8">
      <c r="A24" s="610" t="s">
        <v>486</v>
      </c>
      <c r="B24" s="610" t="s">
        <v>493</v>
      </c>
      <c r="C24" s="610" t="s">
        <v>640</v>
      </c>
      <c r="D24" s="612">
        <v>2.11</v>
      </c>
      <c r="E24" s="613">
        <v>80</v>
      </c>
      <c r="F24" s="612">
        <v>0.6</v>
      </c>
      <c r="G24" s="612">
        <v>8.1</v>
      </c>
      <c r="H24" s="612">
        <v>7.8504300000000002</v>
      </c>
    </row>
    <row r="25" spans="1:8">
      <c r="A25" s="610" t="s">
        <v>486</v>
      </c>
      <c r="B25" s="610" t="s">
        <v>494</v>
      </c>
      <c r="C25" s="610" t="s">
        <v>644</v>
      </c>
      <c r="D25" s="612">
        <v>1.5</v>
      </c>
      <c r="E25" s="613">
        <v>60</v>
      </c>
      <c r="F25" s="612">
        <v>1.2</v>
      </c>
      <c r="G25" s="612">
        <v>12.5</v>
      </c>
      <c r="H25" s="612">
        <v>2.67</v>
      </c>
    </row>
    <row r="26" spans="1:8">
      <c r="A26" s="610" t="s">
        <v>486</v>
      </c>
      <c r="B26" s="610" t="s">
        <v>494</v>
      </c>
      <c r="C26" s="610" t="s">
        <v>645</v>
      </c>
      <c r="D26" s="612">
        <v>1.9</v>
      </c>
      <c r="E26" s="613">
        <v>80</v>
      </c>
      <c r="F26" s="612">
        <v>1.2</v>
      </c>
      <c r="G26" s="612">
        <v>11</v>
      </c>
      <c r="H26" s="612">
        <v>3.5</v>
      </c>
    </row>
    <row r="27" spans="1:8">
      <c r="A27" s="611" t="s">
        <v>495</v>
      </c>
      <c r="B27" s="614" t="s">
        <v>496</v>
      </c>
      <c r="C27" s="610" t="s">
        <v>552</v>
      </c>
      <c r="D27" s="615">
        <v>0.8</v>
      </c>
      <c r="E27" s="616">
        <v>30</v>
      </c>
      <c r="F27" s="615">
        <v>0.6</v>
      </c>
      <c r="G27" s="615">
        <v>1.35</v>
      </c>
      <c r="H27" s="615">
        <v>3.1766034299999992</v>
      </c>
    </row>
    <row r="28" spans="1:8">
      <c r="A28" s="611" t="s">
        <v>495</v>
      </c>
      <c r="B28" s="614" t="s">
        <v>496</v>
      </c>
      <c r="C28" s="610" t="s">
        <v>553</v>
      </c>
      <c r="D28" s="615">
        <v>1.1000000000000001</v>
      </c>
      <c r="E28" s="616">
        <v>40</v>
      </c>
      <c r="F28" s="615">
        <v>0.6</v>
      </c>
      <c r="G28" s="615">
        <v>1.35</v>
      </c>
      <c r="H28" s="615">
        <v>4.609407075</v>
      </c>
    </row>
    <row r="29" spans="1:8">
      <c r="A29" s="611" t="s">
        <v>495</v>
      </c>
      <c r="B29" s="614" t="s">
        <v>496</v>
      </c>
      <c r="C29" s="610" t="s">
        <v>554</v>
      </c>
      <c r="D29" s="615">
        <v>1.35</v>
      </c>
      <c r="E29" s="616">
        <v>50</v>
      </c>
      <c r="F29" s="615">
        <v>0.6</v>
      </c>
      <c r="G29" s="615">
        <v>1.35</v>
      </c>
      <c r="H29" s="615">
        <v>5.6867865599999998</v>
      </c>
    </row>
    <row r="30" spans="1:8">
      <c r="A30" s="611" t="s">
        <v>495</v>
      </c>
      <c r="B30" s="611" t="s">
        <v>497</v>
      </c>
      <c r="C30" s="610" t="s">
        <v>555</v>
      </c>
      <c r="D30" s="615">
        <v>1.35</v>
      </c>
      <c r="E30" s="616">
        <v>50</v>
      </c>
      <c r="F30" s="615">
        <v>0.6</v>
      </c>
      <c r="G30" s="615">
        <v>10.8</v>
      </c>
      <c r="H30" s="615">
        <v>3.7205763000000003</v>
      </c>
    </row>
    <row r="31" spans="1:8">
      <c r="A31" s="611" t="s">
        <v>495</v>
      </c>
      <c r="B31" s="611" t="s">
        <v>497</v>
      </c>
      <c r="C31" s="610" t="s">
        <v>556</v>
      </c>
      <c r="D31" s="615">
        <v>1.65</v>
      </c>
      <c r="E31" s="616">
        <v>60</v>
      </c>
      <c r="F31" s="615">
        <v>0.6</v>
      </c>
      <c r="G31" s="615">
        <v>8.1</v>
      </c>
      <c r="H31" s="615">
        <v>4.2107121000000003</v>
      </c>
    </row>
    <row r="32" spans="1:8">
      <c r="A32" s="611" t="s">
        <v>495</v>
      </c>
      <c r="B32" s="611" t="s">
        <v>498</v>
      </c>
      <c r="C32" s="610" t="s">
        <v>557</v>
      </c>
      <c r="D32" s="615">
        <v>1.35</v>
      </c>
      <c r="E32" s="616">
        <v>50</v>
      </c>
      <c r="F32" s="615">
        <v>0.6</v>
      </c>
      <c r="G32" s="615">
        <v>1.35</v>
      </c>
      <c r="H32" s="615">
        <v>3.8988075000000002</v>
      </c>
    </row>
    <row r="33" spans="1:8">
      <c r="A33" s="611" t="s">
        <v>495</v>
      </c>
      <c r="B33" s="611" t="s">
        <v>498</v>
      </c>
      <c r="C33" s="610" t="s">
        <v>558</v>
      </c>
      <c r="D33" s="615">
        <v>1.65</v>
      </c>
      <c r="E33" s="616">
        <v>60</v>
      </c>
      <c r="F33" s="615">
        <v>0.6</v>
      </c>
      <c r="G33" s="615">
        <v>1.35</v>
      </c>
      <c r="H33" s="615">
        <v>4.4335011000000009</v>
      </c>
    </row>
    <row r="34" spans="1:8">
      <c r="A34" s="611" t="s">
        <v>495</v>
      </c>
      <c r="B34" s="611" t="s">
        <v>498</v>
      </c>
      <c r="C34" s="610" t="s">
        <v>559</v>
      </c>
      <c r="D34" s="615">
        <v>2.2000000000000002</v>
      </c>
      <c r="E34" s="616">
        <v>80</v>
      </c>
      <c r="F34" s="615">
        <v>0.6</v>
      </c>
      <c r="G34" s="615">
        <v>1.35</v>
      </c>
      <c r="H34" s="615">
        <v>6.1155580500000006</v>
      </c>
    </row>
    <row r="35" spans="1:8">
      <c r="A35" s="611" t="s">
        <v>495</v>
      </c>
      <c r="B35" s="611" t="s">
        <v>499</v>
      </c>
      <c r="C35" s="610" t="s">
        <v>627</v>
      </c>
      <c r="D35" s="615">
        <v>1.25</v>
      </c>
      <c r="E35" s="616">
        <v>50</v>
      </c>
      <c r="F35" s="615">
        <v>0.4</v>
      </c>
      <c r="G35" s="615">
        <v>13.5</v>
      </c>
      <c r="H35" s="615">
        <v>2.9385720000000002</v>
      </c>
    </row>
    <row r="36" spans="1:8">
      <c r="A36" s="611" t="s">
        <v>495</v>
      </c>
      <c r="B36" s="611" t="s">
        <v>499</v>
      </c>
      <c r="C36" s="610" t="s">
        <v>627</v>
      </c>
      <c r="D36" s="615">
        <v>1.25</v>
      </c>
      <c r="E36" s="616">
        <v>50</v>
      </c>
      <c r="F36" s="615">
        <v>0.6</v>
      </c>
      <c r="G36" s="615">
        <v>13.5</v>
      </c>
      <c r="H36" s="615">
        <v>2.9385720000000002</v>
      </c>
    </row>
    <row r="37" spans="1:8">
      <c r="A37" s="611" t="s">
        <v>495</v>
      </c>
      <c r="B37" s="611" t="s">
        <v>499</v>
      </c>
      <c r="C37" s="610" t="s">
        <v>628</v>
      </c>
      <c r="D37" s="615">
        <v>1.5</v>
      </c>
      <c r="E37" s="616">
        <v>60</v>
      </c>
      <c r="F37" s="615">
        <v>0.6</v>
      </c>
      <c r="G37" s="615">
        <v>10.8</v>
      </c>
      <c r="H37" s="615">
        <v>3.4993349999999999</v>
      </c>
    </row>
    <row r="38" spans="1:8">
      <c r="A38" s="611" t="s">
        <v>495</v>
      </c>
      <c r="B38" s="611" t="s">
        <v>500</v>
      </c>
      <c r="C38" s="610" t="s">
        <v>560</v>
      </c>
      <c r="D38" s="615">
        <v>1.25</v>
      </c>
      <c r="E38" s="616">
        <v>50</v>
      </c>
      <c r="F38" s="615">
        <v>0.6</v>
      </c>
      <c r="G38" s="615">
        <v>1.35</v>
      </c>
      <c r="H38" s="615">
        <v>2.9385720000000002</v>
      </c>
    </row>
    <row r="39" spans="1:8">
      <c r="A39" s="611" t="s">
        <v>495</v>
      </c>
      <c r="B39" s="611" t="s">
        <v>500</v>
      </c>
      <c r="C39" s="610" t="s">
        <v>561</v>
      </c>
      <c r="D39" s="615">
        <v>1.5</v>
      </c>
      <c r="E39" s="616">
        <v>60</v>
      </c>
      <c r="F39" s="615">
        <v>0.6</v>
      </c>
      <c r="G39" s="615">
        <v>1.35</v>
      </c>
      <c r="H39" s="615">
        <v>3.503682</v>
      </c>
    </row>
    <row r="40" spans="1:8">
      <c r="A40" s="611" t="s">
        <v>495</v>
      </c>
      <c r="B40" s="611" t="s">
        <v>500</v>
      </c>
      <c r="C40" s="610" t="s">
        <v>562</v>
      </c>
      <c r="D40" s="615">
        <v>2</v>
      </c>
      <c r="E40" s="616">
        <v>75</v>
      </c>
      <c r="F40" s="615">
        <v>0.6</v>
      </c>
      <c r="G40" s="615">
        <v>1.35</v>
      </c>
      <c r="H40" s="615">
        <v>4.7356218000000005</v>
      </c>
    </row>
    <row r="41" spans="1:8">
      <c r="A41" s="611" t="s">
        <v>495</v>
      </c>
      <c r="B41" s="611" t="s">
        <v>530</v>
      </c>
      <c r="C41" s="610" t="s">
        <v>563</v>
      </c>
      <c r="D41" s="615">
        <v>1.5</v>
      </c>
      <c r="E41" s="616">
        <v>60</v>
      </c>
      <c r="F41" s="615">
        <v>0.6</v>
      </c>
      <c r="G41" s="615">
        <v>1.35</v>
      </c>
      <c r="H41" s="615">
        <v>4.10295144</v>
      </c>
    </row>
    <row r="42" spans="1:8">
      <c r="A42" s="611" t="s">
        <v>495</v>
      </c>
      <c r="B42" s="611" t="s">
        <v>530</v>
      </c>
      <c r="C42" s="610" t="s">
        <v>564</v>
      </c>
      <c r="D42" s="615">
        <v>2</v>
      </c>
      <c r="E42" s="616">
        <v>75</v>
      </c>
      <c r="F42" s="615">
        <v>0.6</v>
      </c>
      <c r="G42" s="615">
        <v>1.35</v>
      </c>
      <c r="H42" s="615">
        <v>5.5763870400000002</v>
      </c>
    </row>
    <row r="43" spans="1:8">
      <c r="A43" s="611" t="s">
        <v>495</v>
      </c>
      <c r="B43" s="611" t="s">
        <v>501</v>
      </c>
      <c r="C43" s="610" t="s">
        <v>625</v>
      </c>
      <c r="D43" s="615">
        <v>1.25</v>
      </c>
      <c r="E43" s="616">
        <v>45</v>
      </c>
      <c r="F43" s="615">
        <v>0.4</v>
      </c>
      <c r="G43" s="615">
        <v>10.8</v>
      </c>
      <c r="H43" s="615">
        <v>3.2363887500000006</v>
      </c>
    </row>
    <row r="44" spans="1:8">
      <c r="A44" s="611" t="s">
        <v>495</v>
      </c>
      <c r="B44" s="611" t="s">
        <v>501</v>
      </c>
      <c r="C44" s="610" t="s">
        <v>625</v>
      </c>
      <c r="D44" s="615">
        <v>1.25</v>
      </c>
      <c r="E44" s="616">
        <v>45</v>
      </c>
      <c r="F44" s="615">
        <v>0.6</v>
      </c>
      <c r="G44" s="615">
        <v>10.8</v>
      </c>
      <c r="H44" s="615">
        <v>3.2363887500000006</v>
      </c>
    </row>
    <row r="45" spans="1:8">
      <c r="A45" s="611" t="s">
        <v>495</v>
      </c>
      <c r="B45" s="611" t="s">
        <v>501</v>
      </c>
      <c r="C45" s="610" t="s">
        <v>626</v>
      </c>
      <c r="D45" s="615">
        <v>1.8</v>
      </c>
      <c r="E45" s="616">
        <v>65</v>
      </c>
      <c r="F45" s="615">
        <v>0.4</v>
      </c>
      <c r="G45" s="615">
        <v>8.1</v>
      </c>
      <c r="H45" s="615">
        <v>4.2016275000000007</v>
      </c>
    </row>
    <row r="46" spans="1:8">
      <c r="A46" s="611" t="s">
        <v>495</v>
      </c>
      <c r="B46" s="611" t="s">
        <v>501</v>
      </c>
      <c r="C46" s="610" t="s">
        <v>626</v>
      </c>
      <c r="D46" s="615">
        <v>1.8</v>
      </c>
      <c r="E46" s="616">
        <v>65</v>
      </c>
      <c r="F46" s="615">
        <v>0.6</v>
      </c>
      <c r="G46" s="615">
        <v>8.1</v>
      </c>
      <c r="H46" s="615">
        <v>4.2016275000000007</v>
      </c>
    </row>
    <row r="47" spans="1:8">
      <c r="A47" s="611" t="s">
        <v>495</v>
      </c>
      <c r="B47" s="611" t="s">
        <v>502</v>
      </c>
      <c r="C47" s="610" t="s">
        <v>565</v>
      </c>
      <c r="D47" s="615">
        <v>1.25</v>
      </c>
      <c r="E47" s="616">
        <v>45</v>
      </c>
      <c r="F47" s="615">
        <v>0.6</v>
      </c>
      <c r="G47" s="615">
        <v>1.35</v>
      </c>
      <c r="H47" s="615">
        <v>3.3272347500000006</v>
      </c>
    </row>
    <row r="48" spans="1:8">
      <c r="A48" s="611" t="s">
        <v>495</v>
      </c>
      <c r="B48" s="611" t="s">
        <v>502</v>
      </c>
      <c r="C48" s="610" t="s">
        <v>566</v>
      </c>
      <c r="D48" s="615">
        <v>1.8</v>
      </c>
      <c r="E48" s="616">
        <v>65</v>
      </c>
      <c r="F48" s="615">
        <v>0.6</v>
      </c>
      <c r="G48" s="615">
        <v>1.35</v>
      </c>
      <c r="H48" s="615">
        <v>4.9056840000000008</v>
      </c>
    </row>
    <row r="49" spans="1:8">
      <c r="A49" s="611" t="s">
        <v>495</v>
      </c>
      <c r="B49" s="611" t="s">
        <v>503</v>
      </c>
      <c r="C49" s="610" t="s">
        <v>567</v>
      </c>
      <c r="D49" s="615">
        <v>0.65</v>
      </c>
      <c r="E49" s="616">
        <v>25</v>
      </c>
      <c r="F49" s="615">
        <v>1.2</v>
      </c>
      <c r="G49" s="615">
        <v>15</v>
      </c>
      <c r="H49" s="615">
        <v>4.0540027500000004</v>
      </c>
    </row>
    <row r="50" spans="1:8">
      <c r="A50" s="611" t="s">
        <v>495</v>
      </c>
      <c r="B50" s="611" t="s">
        <v>528</v>
      </c>
      <c r="C50" s="610" t="s">
        <v>568</v>
      </c>
      <c r="D50" s="615">
        <v>1.9</v>
      </c>
      <c r="E50" s="616">
        <v>80</v>
      </c>
      <c r="F50" s="615">
        <v>1.2</v>
      </c>
      <c r="G50" s="615">
        <v>10</v>
      </c>
      <c r="H50" s="615">
        <v>3.12821712</v>
      </c>
    </row>
    <row r="51" spans="1:8">
      <c r="A51" s="611" t="s">
        <v>495</v>
      </c>
      <c r="B51" s="611" t="s">
        <v>528</v>
      </c>
      <c r="C51" s="610" t="s">
        <v>569</v>
      </c>
      <c r="D51" s="615">
        <v>2.5</v>
      </c>
      <c r="E51" s="616">
        <v>100</v>
      </c>
      <c r="F51" s="615">
        <v>1.2</v>
      </c>
      <c r="G51" s="615">
        <v>8</v>
      </c>
      <c r="H51" s="615">
        <v>4.10295144</v>
      </c>
    </row>
    <row r="52" spans="1:8">
      <c r="A52" s="611" t="s">
        <v>495</v>
      </c>
      <c r="B52" s="611" t="s">
        <v>528</v>
      </c>
      <c r="C52" s="610" t="s">
        <v>570</v>
      </c>
      <c r="D52" s="615">
        <v>3</v>
      </c>
      <c r="E52" s="616">
        <v>120</v>
      </c>
      <c r="F52" s="615">
        <v>1.2</v>
      </c>
      <c r="G52" s="615">
        <v>6</v>
      </c>
      <c r="H52" s="615">
        <v>5.0776857600000005</v>
      </c>
    </row>
    <row r="53" spans="1:8">
      <c r="A53" s="611" t="s">
        <v>495</v>
      </c>
      <c r="B53" s="611" t="s">
        <v>529</v>
      </c>
      <c r="C53" s="610" t="s">
        <v>571</v>
      </c>
      <c r="D53" s="615">
        <v>1.9</v>
      </c>
      <c r="E53" s="616">
        <v>80</v>
      </c>
      <c r="F53" s="615">
        <v>1.2</v>
      </c>
      <c r="G53" s="615">
        <v>11</v>
      </c>
      <c r="H53" s="615">
        <v>3.4446921599999998</v>
      </c>
    </row>
    <row r="54" spans="1:8">
      <c r="A54" s="611" t="s">
        <v>495</v>
      </c>
      <c r="B54" s="611" t="s">
        <v>529</v>
      </c>
      <c r="C54" s="610" t="s">
        <v>571</v>
      </c>
      <c r="D54" s="615">
        <v>1.9</v>
      </c>
      <c r="E54" s="616">
        <v>80</v>
      </c>
      <c r="F54" s="615">
        <v>0.6</v>
      </c>
      <c r="G54" s="615">
        <v>11</v>
      </c>
      <c r="H54" s="615">
        <v>3.4446921599999998</v>
      </c>
    </row>
    <row r="55" spans="1:8">
      <c r="A55" s="611" t="s">
        <v>495</v>
      </c>
      <c r="B55" s="611" t="s">
        <v>529</v>
      </c>
      <c r="C55" s="610" t="s">
        <v>572</v>
      </c>
      <c r="D55" s="615">
        <v>2.5</v>
      </c>
      <c r="E55" s="616">
        <v>100</v>
      </c>
      <c r="F55" s="615">
        <v>1.2</v>
      </c>
      <c r="G55" s="615">
        <v>8.5</v>
      </c>
      <c r="H55" s="615">
        <v>4.6119964800000011</v>
      </c>
    </row>
    <row r="56" spans="1:8">
      <c r="A56" s="611" t="s">
        <v>495</v>
      </c>
      <c r="B56" s="611" t="s">
        <v>529</v>
      </c>
      <c r="C56" s="610" t="s">
        <v>573</v>
      </c>
      <c r="D56" s="615">
        <v>3</v>
      </c>
      <c r="E56" s="616">
        <v>120</v>
      </c>
      <c r="F56" s="615">
        <v>1.2</v>
      </c>
      <c r="G56" s="615">
        <v>6.5</v>
      </c>
      <c r="H56" s="615">
        <v>5.6648592000000013</v>
      </c>
    </row>
    <row r="57" spans="1:8">
      <c r="A57" s="611" t="s">
        <v>495</v>
      </c>
      <c r="B57" s="611" t="s">
        <v>529</v>
      </c>
      <c r="C57" s="610" t="s">
        <v>574</v>
      </c>
      <c r="D57" s="615">
        <v>3.5</v>
      </c>
      <c r="E57" s="616">
        <v>140</v>
      </c>
      <c r="F57" s="615">
        <v>1.2</v>
      </c>
      <c r="G57" s="615">
        <v>5.5</v>
      </c>
      <c r="H57" s="615">
        <v>6.5231712000000011</v>
      </c>
    </row>
    <row r="58" spans="1:8">
      <c r="A58" s="611" t="s">
        <v>495</v>
      </c>
      <c r="B58" s="611" t="s">
        <v>504</v>
      </c>
      <c r="C58" s="610" t="s">
        <v>575</v>
      </c>
      <c r="D58" s="615">
        <v>1.5</v>
      </c>
      <c r="E58" s="616">
        <v>60</v>
      </c>
      <c r="F58" s="615">
        <v>1.2</v>
      </c>
      <c r="G58" s="615">
        <v>13.5</v>
      </c>
      <c r="H58" s="615">
        <v>3.6593016000000005</v>
      </c>
    </row>
    <row r="59" spans="1:8">
      <c r="A59" s="611" t="s">
        <v>495</v>
      </c>
      <c r="B59" s="611" t="s">
        <v>504</v>
      </c>
      <c r="C59" s="610" t="s">
        <v>576</v>
      </c>
      <c r="D59" s="615">
        <v>1.85</v>
      </c>
      <c r="E59" s="616">
        <v>75</v>
      </c>
      <c r="F59" s="615">
        <v>1.2</v>
      </c>
      <c r="G59" s="615">
        <v>11</v>
      </c>
      <c r="H59" s="615">
        <v>3.8967784000000005</v>
      </c>
    </row>
    <row r="60" spans="1:8">
      <c r="A60" s="611" t="s">
        <v>495</v>
      </c>
      <c r="B60" s="611" t="s">
        <v>504</v>
      </c>
      <c r="C60" s="610" t="s">
        <v>577</v>
      </c>
      <c r="D60" s="615">
        <v>2.5</v>
      </c>
      <c r="E60" s="616">
        <v>100</v>
      </c>
      <c r="F60" s="615">
        <v>1.2</v>
      </c>
      <c r="G60" s="615">
        <v>7.5</v>
      </c>
      <c r="H60" s="615">
        <v>5.4079944000000006</v>
      </c>
    </row>
    <row r="61" spans="1:8">
      <c r="A61" s="611" t="s">
        <v>495</v>
      </c>
      <c r="B61" s="611" t="s">
        <v>531</v>
      </c>
      <c r="C61" s="610" t="s">
        <v>578</v>
      </c>
      <c r="D61" s="615">
        <v>1.4</v>
      </c>
      <c r="E61" s="616">
        <v>50</v>
      </c>
      <c r="F61" s="615">
        <v>1.2</v>
      </c>
      <c r="G61" s="615">
        <v>1.2</v>
      </c>
      <c r="H61" s="615">
        <v>10.627141390000002</v>
      </c>
    </row>
    <row r="62" spans="1:8">
      <c r="A62" s="621" t="s">
        <v>505</v>
      </c>
      <c r="B62" s="621" t="s">
        <v>506</v>
      </c>
      <c r="C62" s="610" t="s">
        <v>579</v>
      </c>
      <c r="D62" s="622">
        <v>0.75</v>
      </c>
      <c r="E62" s="623">
        <v>25</v>
      </c>
      <c r="F62" s="622">
        <v>1.2</v>
      </c>
      <c r="G62" s="622">
        <v>3</v>
      </c>
      <c r="H62" s="622">
        <v>15.496</v>
      </c>
    </row>
    <row r="63" spans="1:8">
      <c r="A63" s="621" t="s">
        <v>505</v>
      </c>
      <c r="B63" s="621" t="s">
        <v>506</v>
      </c>
      <c r="C63" s="610" t="s">
        <v>579</v>
      </c>
      <c r="D63" s="622">
        <v>0.75</v>
      </c>
      <c r="E63" s="623">
        <v>25</v>
      </c>
      <c r="F63" s="622">
        <v>1.2</v>
      </c>
      <c r="G63" s="622">
        <v>3</v>
      </c>
      <c r="H63" s="622">
        <v>15.496</v>
      </c>
    </row>
    <row r="64" spans="1:8">
      <c r="A64" s="621" t="s">
        <v>505</v>
      </c>
      <c r="B64" s="621" t="s">
        <v>506</v>
      </c>
      <c r="C64" s="610" t="s">
        <v>579</v>
      </c>
      <c r="D64" s="622">
        <v>0.75</v>
      </c>
      <c r="E64" s="623">
        <v>25</v>
      </c>
      <c r="F64" s="622">
        <v>1.2</v>
      </c>
      <c r="G64" s="622">
        <v>2.4</v>
      </c>
      <c r="H64" s="622">
        <v>15.496</v>
      </c>
    </row>
    <row r="65" spans="1:8">
      <c r="A65" s="621" t="s">
        <v>505</v>
      </c>
      <c r="B65" s="621" t="s">
        <v>507</v>
      </c>
      <c r="C65" s="610" t="s">
        <v>580</v>
      </c>
      <c r="D65" s="622">
        <v>0.75</v>
      </c>
      <c r="E65" s="623">
        <v>25</v>
      </c>
      <c r="F65" s="622">
        <v>1.2</v>
      </c>
      <c r="G65" s="622">
        <v>3</v>
      </c>
      <c r="H65" s="622">
        <v>20.157838649999999</v>
      </c>
    </row>
    <row r="66" spans="1:8">
      <c r="A66" s="621" t="s">
        <v>505</v>
      </c>
      <c r="B66" s="621" t="s">
        <v>522</v>
      </c>
      <c r="C66" s="610" t="s">
        <v>581</v>
      </c>
      <c r="D66" s="622">
        <v>0.75</v>
      </c>
      <c r="E66" s="623">
        <v>25</v>
      </c>
      <c r="F66" s="622">
        <v>1.2</v>
      </c>
      <c r="G66" s="622">
        <v>3</v>
      </c>
      <c r="H66" s="622">
        <v>13.296899999999999</v>
      </c>
    </row>
    <row r="67" spans="1:8">
      <c r="A67" s="621" t="s">
        <v>505</v>
      </c>
      <c r="B67" s="621" t="s">
        <v>522</v>
      </c>
      <c r="C67" s="610" t="s">
        <v>581</v>
      </c>
      <c r="D67" s="622">
        <v>0.75</v>
      </c>
      <c r="E67" s="623">
        <v>25</v>
      </c>
      <c r="F67" s="622">
        <v>1.2</v>
      </c>
      <c r="G67" s="622">
        <v>3</v>
      </c>
      <c r="H67" s="622">
        <v>13.296899999999999</v>
      </c>
    </row>
    <row r="68" spans="1:8">
      <c r="A68" s="621" t="s">
        <v>505</v>
      </c>
      <c r="B68" s="621" t="s">
        <v>522</v>
      </c>
      <c r="C68" s="610" t="s">
        <v>581</v>
      </c>
      <c r="D68" s="622">
        <v>0.75</v>
      </c>
      <c r="E68" s="623">
        <v>25</v>
      </c>
      <c r="F68" s="622">
        <v>1.2</v>
      </c>
      <c r="G68" s="622">
        <v>2.4</v>
      </c>
      <c r="H68" s="622">
        <v>13.296899999999999</v>
      </c>
    </row>
    <row r="69" spans="1:8">
      <c r="A69" s="621" t="s">
        <v>505</v>
      </c>
      <c r="B69" s="621" t="s">
        <v>523</v>
      </c>
      <c r="C69" s="610" t="s">
        <v>582</v>
      </c>
      <c r="D69" s="622">
        <v>0.75</v>
      </c>
      <c r="E69" s="623">
        <v>25</v>
      </c>
      <c r="F69" s="622">
        <v>1.2</v>
      </c>
      <c r="G69" s="622">
        <v>3</v>
      </c>
      <c r="H69" s="622">
        <v>13.5</v>
      </c>
    </row>
    <row r="70" spans="1:8">
      <c r="A70" s="621" t="s">
        <v>505</v>
      </c>
      <c r="B70" s="621" t="s">
        <v>524</v>
      </c>
      <c r="C70" s="610" t="s">
        <v>583</v>
      </c>
      <c r="D70" s="622">
        <v>0.75</v>
      </c>
      <c r="E70" s="623">
        <v>25</v>
      </c>
      <c r="F70" s="622">
        <v>1.2</v>
      </c>
      <c r="G70" s="622">
        <v>3</v>
      </c>
      <c r="H70" s="622">
        <v>16.940459999999998</v>
      </c>
    </row>
    <row r="71" spans="1:8">
      <c r="A71" s="621" t="s">
        <v>505</v>
      </c>
      <c r="B71" s="621" t="s">
        <v>525</v>
      </c>
      <c r="C71" s="610" t="s">
        <v>584</v>
      </c>
      <c r="D71" s="622">
        <v>1.35</v>
      </c>
      <c r="E71" s="623">
        <v>55</v>
      </c>
      <c r="F71" s="622">
        <v>1.2</v>
      </c>
      <c r="G71" s="622">
        <v>15</v>
      </c>
      <c r="H71" s="622">
        <v>3.5028240000000004</v>
      </c>
    </row>
    <row r="72" spans="1:8">
      <c r="A72" s="621" t="s">
        <v>505</v>
      </c>
      <c r="B72" s="621" t="s">
        <v>525</v>
      </c>
      <c r="C72" s="610" t="s">
        <v>585</v>
      </c>
      <c r="D72" s="622">
        <v>2.5</v>
      </c>
      <c r="E72" s="623">
        <v>100</v>
      </c>
      <c r="F72" s="622">
        <v>1.2</v>
      </c>
      <c r="G72" s="622">
        <v>7.5</v>
      </c>
      <c r="H72" s="622">
        <v>7.112768</v>
      </c>
    </row>
    <row r="73" spans="1:8">
      <c r="A73" s="621" t="s">
        <v>505</v>
      </c>
      <c r="B73" s="621" t="s">
        <v>526</v>
      </c>
      <c r="C73" s="610" t="s">
        <v>586</v>
      </c>
      <c r="D73" s="622">
        <v>0.85</v>
      </c>
      <c r="E73" s="624">
        <v>30</v>
      </c>
      <c r="F73" s="622">
        <v>1.1499999999999999</v>
      </c>
      <c r="G73" s="622">
        <v>18</v>
      </c>
      <c r="H73" s="622">
        <v>4.2556633599999998</v>
      </c>
    </row>
    <row r="74" spans="1:8">
      <c r="A74" s="621" t="s">
        <v>505</v>
      </c>
      <c r="B74" s="621" t="s">
        <v>526</v>
      </c>
      <c r="C74" s="610" t="s">
        <v>587</v>
      </c>
      <c r="D74" s="622">
        <v>1.1499999999999999</v>
      </c>
      <c r="E74" s="624">
        <v>40</v>
      </c>
      <c r="F74" s="622">
        <v>1.1499999999999999</v>
      </c>
      <c r="G74" s="622">
        <v>15</v>
      </c>
      <c r="H74" s="622">
        <v>4.7235635199999999</v>
      </c>
    </row>
    <row r="75" spans="1:8">
      <c r="A75" s="621" t="s">
        <v>505</v>
      </c>
      <c r="B75" s="621" t="s">
        <v>526</v>
      </c>
      <c r="C75" s="610" t="s">
        <v>588</v>
      </c>
      <c r="D75" s="622">
        <v>1.45</v>
      </c>
      <c r="E75" s="624">
        <v>50</v>
      </c>
      <c r="F75" s="622">
        <v>1.1499999999999999</v>
      </c>
      <c r="G75" s="622">
        <v>15</v>
      </c>
      <c r="H75" s="622">
        <v>5.3585708800000003</v>
      </c>
    </row>
    <row r="76" spans="1:8">
      <c r="A76" s="621" t="s">
        <v>505</v>
      </c>
      <c r="B76" s="621" t="s">
        <v>527</v>
      </c>
      <c r="C76" s="610" t="s">
        <v>589</v>
      </c>
      <c r="D76" s="622">
        <v>0.7</v>
      </c>
      <c r="E76" s="624">
        <v>25</v>
      </c>
      <c r="F76" s="624">
        <v>1.2</v>
      </c>
      <c r="G76" s="624">
        <v>16</v>
      </c>
      <c r="H76" s="622">
        <v>6.0047187199999996</v>
      </c>
    </row>
    <row r="77" spans="1:8">
      <c r="A77" s="621" t="s">
        <v>505</v>
      </c>
      <c r="B77" s="621" t="s">
        <v>527</v>
      </c>
      <c r="C77" s="610" t="s">
        <v>590</v>
      </c>
      <c r="D77" s="622">
        <v>1.45</v>
      </c>
      <c r="E77" s="624">
        <v>50</v>
      </c>
      <c r="F77" s="624">
        <v>1.2</v>
      </c>
      <c r="G77" s="624">
        <v>8</v>
      </c>
      <c r="H77" s="622">
        <v>8.2885171200000016</v>
      </c>
    </row>
    <row r="78" spans="1:8">
      <c r="A78" s="621" t="s">
        <v>505</v>
      </c>
      <c r="B78" s="621" t="s">
        <v>508</v>
      </c>
      <c r="C78" s="610" t="s">
        <v>591</v>
      </c>
      <c r="D78" s="622">
        <v>0.75</v>
      </c>
      <c r="E78" s="623">
        <v>25</v>
      </c>
      <c r="F78" s="622">
        <v>1.2</v>
      </c>
      <c r="G78" s="622">
        <v>18</v>
      </c>
      <c r="H78" s="622">
        <v>6.7080000000000002</v>
      </c>
    </row>
    <row r="79" spans="1:8">
      <c r="A79" s="621" t="s">
        <v>505</v>
      </c>
      <c r="B79" s="621" t="s">
        <v>508</v>
      </c>
      <c r="C79" s="610" t="s">
        <v>592</v>
      </c>
      <c r="D79" s="622">
        <v>1.25</v>
      </c>
      <c r="E79" s="623">
        <v>40</v>
      </c>
      <c r="F79" s="622">
        <v>1.2</v>
      </c>
      <c r="G79" s="622">
        <v>11.5</v>
      </c>
      <c r="H79" s="622">
        <v>8.32</v>
      </c>
    </row>
    <row r="80" spans="1:8">
      <c r="A80" s="617" t="s">
        <v>509</v>
      </c>
      <c r="B80" s="617" t="s">
        <v>510</v>
      </c>
      <c r="C80" s="610" t="s">
        <v>593</v>
      </c>
      <c r="D80" s="618">
        <v>0.9</v>
      </c>
      <c r="E80" s="619">
        <v>30</v>
      </c>
      <c r="F80" s="618">
        <v>0.6</v>
      </c>
      <c r="G80" s="618">
        <v>2.5</v>
      </c>
      <c r="H80" s="618">
        <f>300*(E80/1000)</f>
        <v>9</v>
      </c>
    </row>
    <row r="81" spans="1:8">
      <c r="A81" s="617" t="s">
        <v>509</v>
      </c>
      <c r="B81" s="617" t="s">
        <v>510</v>
      </c>
      <c r="C81" s="610" t="s">
        <v>594</v>
      </c>
      <c r="D81" s="618">
        <v>1.2</v>
      </c>
      <c r="E81" s="619">
        <v>40</v>
      </c>
      <c r="F81" s="618">
        <v>0.6</v>
      </c>
      <c r="G81" s="618">
        <v>2.5</v>
      </c>
      <c r="H81" s="618">
        <f>300*(E81/1000)</f>
        <v>12</v>
      </c>
    </row>
    <row r="82" spans="1:8">
      <c r="A82" s="617" t="s">
        <v>509</v>
      </c>
      <c r="B82" s="617" t="s">
        <v>510</v>
      </c>
      <c r="C82" s="610" t="s">
        <v>595</v>
      </c>
      <c r="D82" s="618">
        <v>1.5</v>
      </c>
      <c r="E82" s="619">
        <v>50</v>
      </c>
      <c r="F82" s="618">
        <v>0.6</v>
      </c>
      <c r="G82" s="618">
        <v>2.5</v>
      </c>
      <c r="H82" s="618">
        <f>300*(E82/1000)</f>
        <v>15</v>
      </c>
    </row>
    <row r="83" spans="1:8">
      <c r="A83" s="617" t="s">
        <v>509</v>
      </c>
      <c r="B83" s="617" t="s">
        <v>510</v>
      </c>
      <c r="C83" s="610" t="s">
        <v>596</v>
      </c>
      <c r="D83" s="618">
        <v>1.8</v>
      </c>
      <c r="E83" s="619">
        <v>60</v>
      </c>
      <c r="F83" s="618">
        <v>0.6</v>
      </c>
      <c r="G83" s="618">
        <v>2.5</v>
      </c>
      <c r="H83" s="618">
        <f>300*(E83/1000)</f>
        <v>18</v>
      </c>
    </row>
    <row r="84" spans="1:8">
      <c r="A84" s="617" t="s">
        <v>509</v>
      </c>
      <c r="B84" s="617" t="s">
        <v>511</v>
      </c>
      <c r="C84" s="610" t="s">
        <v>597</v>
      </c>
      <c r="D84" s="618">
        <v>1.7</v>
      </c>
      <c r="E84" s="619">
        <v>50</v>
      </c>
      <c r="F84" s="618">
        <v>0.6</v>
      </c>
      <c r="G84" s="618">
        <v>1.25</v>
      </c>
      <c r="H84" s="618">
        <f>345*(E84/1000)</f>
        <v>17.25</v>
      </c>
    </row>
    <row r="85" spans="1:8">
      <c r="A85" s="617" t="s">
        <v>509</v>
      </c>
      <c r="B85" s="617" t="s">
        <v>511</v>
      </c>
      <c r="C85" s="610" t="s">
        <v>598</v>
      </c>
      <c r="D85" s="618">
        <v>2.0499999999999998</v>
      </c>
      <c r="E85" s="619">
        <v>60</v>
      </c>
      <c r="F85" s="618">
        <v>0.6</v>
      </c>
      <c r="G85" s="618">
        <v>1.25</v>
      </c>
      <c r="H85" s="618">
        <f>345*(E85/1000)</f>
        <v>20.7</v>
      </c>
    </row>
    <row r="86" spans="1:8">
      <c r="A86" s="617" t="s">
        <v>509</v>
      </c>
      <c r="B86" s="617" t="s">
        <v>511</v>
      </c>
      <c r="C86" s="610" t="s">
        <v>599</v>
      </c>
      <c r="D86" s="618">
        <v>2.4</v>
      </c>
      <c r="E86" s="619">
        <v>70</v>
      </c>
      <c r="F86" s="618">
        <v>0.6</v>
      </c>
      <c r="G86" s="618">
        <v>1.25</v>
      </c>
      <c r="H86" s="618">
        <f>345*(E86/1000)</f>
        <v>24.150000000000002</v>
      </c>
    </row>
    <row r="87" spans="1:8">
      <c r="A87" s="617" t="s">
        <v>509</v>
      </c>
      <c r="B87" s="617" t="s">
        <v>512</v>
      </c>
      <c r="C87" s="610" t="s">
        <v>600</v>
      </c>
      <c r="D87" s="618">
        <v>0.9</v>
      </c>
      <c r="E87" s="619">
        <v>30</v>
      </c>
      <c r="F87" s="618">
        <v>0.6</v>
      </c>
      <c r="G87" s="618">
        <v>1.25</v>
      </c>
      <c r="H87" s="618">
        <f>300*(E87/1000)</f>
        <v>9</v>
      </c>
    </row>
    <row r="88" spans="1:8">
      <c r="A88" s="617" t="s">
        <v>509</v>
      </c>
      <c r="B88" s="617" t="s">
        <v>512</v>
      </c>
      <c r="C88" s="610" t="s">
        <v>601</v>
      </c>
      <c r="D88" s="618">
        <v>1.2</v>
      </c>
      <c r="E88" s="619">
        <v>40</v>
      </c>
      <c r="F88" s="618">
        <v>0.6</v>
      </c>
      <c r="G88" s="618">
        <v>1.25</v>
      </c>
      <c r="H88" s="618">
        <f>300*(E88/1000)</f>
        <v>12</v>
      </c>
    </row>
    <row r="89" spans="1:8">
      <c r="A89" s="617" t="s">
        <v>509</v>
      </c>
      <c r="B89" s="617" t="s">
        <v>512</v>
      </c>
      <c r="C89" s="610" t="s">
        <v>602</v>
      </c>
      <c r="D89" s="618">
        <v>1.5</v>
      </c>
      <c r="E89" s="619">
        <v>50</v>
      </c>
      <c r="F89" s="618">
        <v>0.6</v>
      </c>
      <c r="G89" s="618">
        <v>1.25</v>
      </c>
      <c r="H89" s="618">
        <f>300*(E89/1000)</f>
        <v>15</v>
      </c>
    </row>
    <row r="90" spans="1:8">
      <c r="A90" s="617" t="s">
        <v>509</v>
      </c>
      <c r="B90" s="617" t="s">
        <v>513</v>
      </c>
      <c r="C90" s="610" t="s">
        <v>603</v>
      </c>
      <c r="D90" s="618">
        <v>0.9</v>
      </c>
      <c r="E90" s="619">
        <v>30</v>
      </c>
      <c r="F90" s="618">
        <v>0.6</v>
      </c>
      <c r="G90" s="618">
        <v>1.25</v>
      </c>
      <c r="H90" s="618">
        <f>300*(E90/1000)</f>
        <v>9</v>
      </c>
    </row>
    <row r="91" spans="1:8">
      <c r="A91" s="617" t="s">
        <v>509</v>
      </c>
      <c r="B91" s="617" t="s">
        <v>513</v>
      </c>
      <c r="C91" s="610" t="s">
        <v>604</v>
      </c>
      <c r="D91" s="618">
        <v>1.2</v>
      </c>
      <c r="E91" s="619">
        <v>40</v>
      </c>
      <c r="F91" s="618">
        <v>0.6</v>
      </c>
      <c r="G91" s="618">
        <v>1.25</v>
      </c>
      <c r="H91" s="618">
        <f t="shared" ref="H91:H96" si="0">300*(E91/1000)</f>
        <v>12</v>
      </c>
    </row>
    <row r="92" spans="1:8">
      <c r="A92" s="617" t="s">
        <v>509</v>
      </c>
      <c r="B92" s="617" t="s">
        <v>513</v>
      </c>
      <c r="C92" s="610" t="s">
        <v>605</v>
      </c>
      <c r="D92" s="618">
        <v>1.5</v>
      </c>
      <c r="E92" s="619">
        <v>50</v>
      </c>
      <c r="F92" s="618">
        <v>0.6</v>
      </c>
      <c r="G92" s="618">
        <v>1.25</v>
      </c>
      <c r="H92" s="618">
        <f t="shared" si="0"/>
        <v>15</v>
      </c>
    </row>
    <row r="93" spans="1:8">
      <c r="A93" s="617" t="s">
        <v>509</v>
      </c>
      <c r="B93" s="617" t="s">
        <v>513</v>
      </c>
      <c r="C93" s="610" t="s">
        <v>606</v>
      </c>
      <c r="D93" s="618">
        <v>1.8</v>
      </c>
      <c r="E93" s="619">
        <v>60</v>
      </c>
      <c r="F93" s="618">
        <v>0.6</v>
      </c>
      <c r="G93" s="618">
        <v>1.25</v>
      </c>
      <c r="H93" s="618">
        <f t="shared" si="0"/>
        <v>18</v>
      </c>
    </row>
    <row r="94" spans="1:8">
      <c r="A94" s="617" t="s">
        <v>509</v>
      </c>
      <c r="B94" s="617" t="s">
        <v>513</v>
      </c>
      <c r="C94" s="610" t="s">
        <v>607</v>
      </c>
      <c r="D94" s="618">
        <v>1.95</v>
      </c>
      <c r="E94" s="619">
        <v>70</v>
      </c>
      <c r="F94" s="618">
        <v>0.6</v>
      </c>
      <c r="G94" s="618">
        <v>1.25</v>
      </c>
      <c r="H94" s="618">
        <f t="shared" si="0"/>
        <v>21.000000000000004</v>
      </c>
    </row>
    <row r="95" spans="1:8">
      <c r="A95" s="617" t="s">
        <v>509</v>
      </c>
      <c r="B95" s="617" t="s">
        <v>513</v>
      </c>
      <c r="C95" s="610" t="s">
        <v>608</v>
      </c>
      <c r="D95" s="618">
        <v>2.2000000000000002</v>
      </c>
      <c r="E95" s="619">
        <v>80</v>
      </c>
      <c r="F95" s="618">
        <v>0.6</v>
      </c>
      <c r="G95" s="618">
        <v>1.25</v>
      </c>
      <c r="H95" s="618">
        <f t="shared" si="0"/>
        <v>24</v>
      </c>
    </row>
    <row r="96" spans="1:8">
      <c r="A96" s="617" t="s">
        <v>509</v>
      </c>
      <c r="B96" s="617" t="s">
        <v>513</v>
      </c>
      <c r="C96" s="610" t="s">
        <v>609</v>
      </c>
      <c r="D96" s="618">
        <v>2.8</v>
      </c>
      <c r="E96" s="619">
        <v>100</v>
      </c>
      <c r="F96" s="618">
        <v>0.6</v>
      </c>
      <c r="G96" s="618">
        <v>1.25</v>
      </c>
      <c r="H96" s="618">
        <f t="shared" si="0"/>
        <v>30</v>
      </c>
    </row>
    <row r="97" spans="1:8">
      <c r="A97" s="617" t="s">
        <v>509</v>
      </c>
      <c r="B97" s="617" t="s">
        <v>514</v>
      </c>
      <c r="C97" s="610" t="s">
        <v>610</v>
      </c>
      <c r="D97" s="618">
        <v>1</v>
      </c>
      <c r="E97" s="620">
        <v>40</v>
      </c>
      <c r="F97" s="618">
        <v>0.6</v>
      </c>
      <c r="G97" s="618">
        <v>1.25</v>
      </c>
      <c r="H97" s="618">
        <f>320*(E97/1000)</f>
        <v>12.8</v>
      </c>
    </row>
    <row r="98" spans="1:8">
      <c r="A98" s="617" t="s">
        <v>509</v>
      </c>
      <c r="B98" s="617" t="s">
        <v>514</v>
      </c>
      <c r="C98" s="610" t="s">
        <v>611</v>
      </c>
      <c r="D98" s="618">
        <v>1.3</v>
      </c>
      <c r="E98" s="620">
        <v>50</v>
      </c>
      <c r="F98" s="618">
        <v>0.6</v>
      </c>
      <c r="G98" s="618">
        <v>1.25</v>
      </c>
      <c r="H98" s="618">
        <f>320*(E98/1000)</f>
        <v>16</v>
      </c>
    </row>
    <row r="99" spans="1:8">
      <c r="A99" s="617" t="s">
        <v>509</v>
      </c>
      <c r="B99" s="617" t="s">
        <v>514</v>
      </c>
      <c r="C99" s="610" t="s">
        <v>612</v>
      </c>
      <c r="D99" s="618">
        <v>1.6</v>
      </c>
      <c r="E99" s="620">
        <v>60</v>
      </c>
      <c r="F99" s="618">
        <v>0.6</v>
      </c>
      <c r="G99" s="618">
        <v>1.25</v>
      </c>
      <c r="H99" s="618">
        <f>320*(E99/1000)</f>
        <v>19.2</v>
      </c>
    </row>
    <row r="100" spans="1:8">
      <c r="A100" s="617" t="s">
        <v>509</v>
      </c>
      <c r="B100" s="617" t="s">
        <v>514</v>
      </c>
      <c r="C100" s="610" t="s">
        <v>613</v>
      </c>
      <c r="D100" s="618">
        <v>2.0499999999999998</v>
      </c>
      <c r="E100" s="619">
        <v>80</v>
      </c>
      <c r="F100" s="618">
        <v>0.6</v>
      </c>
      <c r="G100" s="618">
        <v>1.25</v>
      </c>
      <c r="H100" s="618">
        <f>320*(E100/1000)</f>
        <v>25.6</v>
      </c>
    </row>
    <row r="101" spans="1:8">
      <c r="A101" s="617" t="s">
        <v>509</v>
      </c>
      <c r="B101" s="617" t="s">
        <v>515</v>
      </c>
      <c r="C101" s="610" t="s">
        <v>614</v>
      </c>
      <c r="D101" s="618">
        <v>1.2</v>
      </c>
      <c r="E101" s="619">
        <v>40</v>
      </c>
      <c r="F101" s="618">
        <v>0.6</v>
      </c>
      <c r="G101" s="618">
        <v>1.25</v>
      </c>
      <c r="H101" s="618">
        <f>345*(E101/1000)</f>
        <v>13.8</v>
      </c>
    </row>
    <row r="102" spans="1:8">
      <c r="A102" s="617" t="s">
        <v>509</v>
      </c>
      <c r="B102" s="617" t="s">
        <v>515</v>
      </c>
      <c r="C102" s="610" t="s">
        <v>615</v>
      </c>
      <c r="D102" s="618">
        <v>1.5</v>
      </c>
      <c r="E102" s="619">
        <v>50</v>
      </c>
      <c r="F102" s="618">
        <v>0.6</v>
      </c>
      <c r="G102" s="618">
        <v>1.25</v>
      </c>
      <c r="H102" s="618">
        <f>345*(E102/1000)</f>
        <v>17.25</v>
      </c>
    </row>
    <row r="103" spans="1:8">
      <c r="A103" s="617" t="s">
        <v>509</v>
      </c>
      <c r="B103" s="617" t="s">
        <v>515</v>
      </c>
      <c r="C103" s="610" t="s">
        <v>616</v>
      </c>
      <c r="D103" s="618">
        <v>1.8</v>
      </c>
      <c r="E103" s="619">
        <v>60</v>
      </c>
      <c r="F103" s="618">
        <v>0.6</v>
      </c>
      <c r="G103" s="618">
        <v>1.25</v>
      </c>
      <c r="H103" s="618">
        <f>345*(E103/1000)</f>
        <v>20.7</v>
      </c>
    </row>
    <row r="104" spans="1:8">
      <c r="A104" s="617" t="s">
        <v>509</v>
      </c>
      <c r="B104" s="617" t="s">
        <v>515</v>
      </c>
      <c r="C104" s="610" t="s">
        <v>617</v>
      </c>
      <c r="D104" s="618">
        <v>2.2000000000000002</v>
      </c>
      <c r="E104" s="619">
        <v>80</v>
      </c>
      <c r="F104" s="618">
        <v>0.6</v>
      </c>
      <c r="G104" s="618">
        <v>1.25</v>
      </c>
      <c r="H104" s="618">
        <f>345*(E104/1000)</f>
        <v>27.6</v>
      </c>
    </row>
    <row r="105" spans="1:8">
      <c r="A105" s="617" t="s">
        <v>509</v>
      </c>
      <c r="B105" s="617" t="s">
        <v>515</v>
      </c>
      <c r="C105" s="610" t="s">
        <v>618</v>
      </c>
      <c r="D105" s="618">
        <v>2.8</v>
      </c>
      <c r="E105" s="619">
        <v>100</v>
      </c>
      <c r="F105" s="618">
        <v>0.6</v>
      </c>
      <c r="G105" s="618">
        <v>1.25</v>
      </c>
      <c r="H105" s="618">
        <f>345*(E105/1000)</f>
        <v>34.5</v>
      </c>
    </row>
    <row r="106" spans="1:8">
      <c r="A106" s="617" t="s">
        <v>509</v>
      </c>
      <c r="B106" s="617" t="s">
        <v>516</v>
      </c>
      <c r="C106" s="610" t="s">
        <v>619</v>
      </c>
      <c r="D106" s="618">
        <v>0.9</v>
      </c>
      <c r="E106" s="619">
        <v>30</v>
      </c>
      <c r="F106" s="618">
        <v>0.6</v>
      </c>
      <c r="G106" s="618">
        <v>1.25</v>
      </c>
      <c r="H106" s="618">
        <f>265*(E106/1000)</f>
        <v>7.9499999999999993</v>
      </c>
    </row>
    <row r="107" spans="1:8">
      <c r="A107" s="617" t="s">
        <v>509</v>
      </c>
      <c r="B107" s="617" t="s">
        <v>516</v>
      </c>
      <c r="C107" s="610" t="s">
        <v>620</v>
      </c>
      <c r="D107" s="618">
        <v>1.2</v>
      </c>
      <c r="E107" s="619">
        <v>40</v>
      </c>
      <c r="F107" s="618">
        <v>0.6</v>
      </c>
      <c r="G107" s="618">
        <v>1.25</v>
      </c>
      <c r="H107" s="618">
        <f t="shared" ref="H107:H113" si="1">265*(E107/1000)</f>
        <v>10.6</v>
      </c>
    </row>
    <row r="108" spans="1:8">
      <c r="A108" s="617" t="s">
        <v>509</v>
      </c>
      <c r="B108" s="617" t="s">
        <v>516</v>
      </c>
      <c r="C108" s="610" t="s">
        <v>621</v>
      </c>
      <c r="D108" s="618">
        <v>1.5</v>
      </c>
      <c r="E108" s="619">
        <v>50</v>
      </c>
      <c r="F108" s="618">
        <v>0.6</v>
      </c>
      <c r="G108" s="618">
        <v>1.25</v>
      </c>
      <c r="H108" s="618">
        <f t="shared" si="1"/>
        <v>13.25</v>
      </c>
    </row>
    <row r="109" spans="1:8">
      <c r="A109" s="617" t="s">
        <v>509</v>
      </c>
      <c r="B109" s="617" t="s">
        <v>516</v>
      </c>
      <c r="C109" s="610" t="s">
        <v>622</v>
      </c>
      <c r="D109" s="618">
        <v>1.8</v>
      </c>
      <c r="E109" s="619">
        <v>60</v>
      </c>
      <c r="F109" s="618">
        <v>0.6</v>
      </c>
      <c r="G109" s="618">
        <v>1.25</v>
      </c>
      <c r="H109" s="618">
        <f t="shared" si="1"/>
        <v>15.899999999999999</v>
      </c>
    </row>
    <row r="110" spans="1:8">
      <c r="A110" s="617" t="s">
        <v>509</v>
      </c>
      <c r="B110" s="617" t="s">
        <v>516</v>
      </c>
      <c r="C110" s="610" t="s">
        <v>619</v>
      </c>
      <c r="D110" s="618">
        <v>0.9</v>
      </c>
      <c r="E110" s="619">
        <v>30</v>
      </c>
      <c r="F110" s="618">
        <v>0.6</v>
      </c>
      <c r="G110" s="618">
        <v>2.6</v>
      </c>
      <c r="H110" s="618">
        <f t="shared" si="1"/>
        <v>7.9499999999999993</v>
      </c>
    </row>
    <row r="111" spans="1:8">
      <c r="A111" s="617" t="s">
        <v>509</v>
      </c>
      <c r="B111" s="617" t="s">
        <v>516</v>
      </c>
      <c r="C111" s="610" t="s">
        <v>620</v>
      </c>
      <c r="D111" s="618">
        <v>1.2</v>
      </c>
      <c r="E111" s="619">
        <v>40</v>
      </c>
      <c r="F111" s="618">
        <v>0.6</v>
      </c>
      <c r="G111" s="618">
        <v>2.6</v>
      </c>
      <c r="H111" s="618">
        <f t="shared" si="1"/>
        <v>10.6</v>
      </c>
    </row>
    <row r="112" spans="1:8">
      <c r="A112" s="617" t="s">
        <v>509</v>
      </c>
      <c r="B112" s="617" t="s">
        <v>516</v>
      </c>
      <c r="C112" s="610" t="s">
        <v>621</v>
      </c>
      <c r="D112" s="618">
        <v>1.5</v>
      </c>
      <c r="E112" s="619">
        <v>50</v>
      </c>
      <c r="F112" s="618">
        <v>0.6</v>
      </c>
      <c r="G112" s="618">
        <v>2.6</v>
      </c>
      <c r="H112" s="618">
        <f t="shared" si="1"/>
        <v>13.25</v>
      </c>
    </row>
    <row r="113" spans="1:8">
      <c r="A113" s="617" t="s">
        <v>509</v>
      </c>
      <c r="B113" s="617" t="s">
        <v>516</v>
      </c>
      <c r="C113" s="610" t="s">
        <v>622</v>
      </c>
      <c r="D113" s="618">
        <v>1.8</v>
      </c>
      <c r="E113" s="619">
        <v>60</v>
      </c>
      <c r="F113" s="618">
        <v>0.6</v>
      </c>
      <c r="G113" s="618">
        <v>2.6</v>
      </c>
      <c r="H113" s="618">
        <f t="shared" si="1"/>
        <v>15.899999999999999</v>
      </c>
    </row>
    <row r="114" spans="1:8">
      <c r="A114" s="617" t="s">
        <v>509</v>
      </c>
      <c r="B114" s="617" t="s">
        <v>517</v>
      </c>
      <c r="C114" s="610" t="s">
        <v>623</v>
      </c>
      <c r="D114" s="618">
        <v>0.9</v>
      </c>
      <c r="E114" s="619">
        <v>30</v>
      </c>
      <c r="F114" s="618">
        <v>0.6</v>
      </c>
      <c r="G114" s="618">
        <v>1.25</v>
      </c>
      <c r="H114" s="618">
        <f>345*(E114/1000)</f>
        <v>10.35</v>
      </c>
    </row>
    <row r="115" spans="1:8">
      <c r="A115" s="617" t="s">
        <v>509</v>
      </c>
      <c r="B115" s="617" t="s">
        <v>517</v>
      </c>
      <c r="C115" s="610" t="s">
        <v>624</v>
      </c>
      <c r="D115" s="618">
        <v>1.2</v>
      </c>
      <c r="E115" s="619">
        <v>40</v>
      </c>
      <c r="F115" s="618">
        <v>0.6</v>
      </c>
      <c r="G115" s="618">
        <v>1.25</v>
      </c>
      <c r="H115" s="618">
        <f>345*(E115/1000)</f>
        <v>13.8</v>
      </c>
    </row>
    <row r="116" spans="1:8">
      <c r="A116" s="644"/>
      <c r="B116" s="645"/>
      <c r="C116" s="647" t="s">
        <v>534</v>
      </c>
      <c r="D116" s="625">
        <v>0</v>
      </c>
      <c r="E116" s="646"/>
      <c r="F116" s="646"/>
      <c r="G116" s="646"/>
      <c r="H116" s="625">
        <v>0</v>
      </c>
    </row>
    <row r="117" spans="1:8">
      <c r="A117" s="645"/>
      <c r="B117" s="645"/>
      <c r="C117" s="647" t="s">
        <v>535</v>
      </c>
      <c r="D117" s="625">
        <v>0</v>
      </c>
      <c r="E117" s="646"/>
      <c r="F117" s="646"/>
      <c r="G117" s="646"/>
      <c r="H117" s="625">
        <v>0</v>
      </c>
    </row>
    <row r="118" spans="1:8">
      <c r="A118" s="645"/>
      <c r="B118" s="645"/>
      <c r="C118" s="647" t="s">
        <v>536</v>
      </c>
      <c r="D118" s="625">
        <v>0</v>
      </c>
      <c r="E118" s="646"/>
      <c r="F118" s="646"/>
      <c r="G118" s="646"/>
      <c r="H118" s="625">
        <v>0</v>
      </c>
    </row>
    <row r="119" spans="1:8">
      <c r="A119" s="645"/>
      <c r="B119" s="645"/>
      <c r="C119" s="647" t="s">
        <v>537</v>
      </c>
      <c r="D119" s="625">
        <v>0</v>
      </c>
      <c r="E119" s="646"/>
      <c r="F119" s="646"/>
      <c r="G119" s="646"/>
      <c r="H119" s="625">
        <v>0</v>
      </c>
    </row>
    <row r="120" spans="1:8">
      <c r="A120" s="645"/>
      <c r="B120" s="645"/>
      <c r="C120" s="647" t="s">
        <v>538</v>
      </c>
      <c r="D120" s="625">
        <v>0</v>
      </c>
      <c r="E120" s="646"/>
      <c r="F120" s="646"/>
      <c r="G120" s="646"/>
      <c r="H120" s="625">
        <v>0</v>
      </c>
    </row>
    <row r="121" spans="1:8">
      <c r="A121" s="645"/>
      <c r="B121" s="645"/>
      <c r="C121" s="647" t="s">
        <v>539</v>
      </c>
      <c r="D121" s="625">
        <v>0</v>
      </c>
      <c r="E121" s="646"/>
      <c r="F121" s="646"/>
      <c r="G121" s="646"/>
      <c r="H121" s="625">
        <v>0</v>
      </c>
    </row>
    <row r="122" spans="1:8">
      <c r="A122" s="645"/>
      <c r="B122" s="645"/>
      <c r="C122" s="647" t="s">
        <v>540</v>
      </c>
      <c r="D122" s="625">
        <v>0</v>
      </c>
      <c r="E122" s="646"/>
      <c r="F122" s="646"/>
      <c r="G122" s="646"/>
      <c r="H122" s="625">
        <v>0</v>
      </c>
    </row>
    <row r="123" spans="1:8">
      <c r="A123" s="645"/>
      <c r="B123" s="645"/>
      <c r="C123" s="647" t="s">
        <v>541</v>
      </c>
      <c r="D123" s="625">
        <v>0</v>
      </c>
      <c r="E123" s="646"/>
      <c r="F123" s="646"/>
      <c r="G123" s="646"/>
      <c r="H123" s="625">
        <v>0</v>
      </c>
    </row>
    <row r="124" spans="1:8">
      <c r="A124" s="645"/>
      <c r="B124" s="645"/>
      <c r="C124" s="647" t="s">
        <v>542</v>
      </c>
      <c r="D124" s="625">
        <v>0</v>
      </c>
      <c r="E124" s="646"/>
      <c r="F124" s="646"/>
      <c r="G124" s="646"/>
      <c r="H124" s="625">
        <v>0</v>
      </c>
    </row>
    <row r="125" spans="1:8">
      <c r="A125" s="645"/>
      <c r="B125" s="645"/>
      <c r="C125" s="647" t="s">
        <v>543</v>
      </c>
      <c r="D125" s="625">
        <v>0</v>
      </c>
      <c r="E125" s="646"/>
      <c r="F125" s="646"/>
      <c r="G125" s="646"/>
      <c r="H125" s="625">
        <v>0</v>
      </c>
    </row>
    <row r="126" spans="1:8">
      <c r="A126" s="645"/>
      <c r="B126" s="645"/>
      <c r="C126" s="647" t="s">
        <v>544</v>
      </c>
      <c r="D126" s="625">
        <v>0</v>
      </c>
      <c r="E126" s="646"/>
      <c r="F126" s="646"/>
      <c r="G126" s="646"/>
      <c r="H126" s="625">
        <v>0</v>
      </c>
    </row>
    <row r="127" spans="1:8">
      <c r="A127" s="645"/>
      <c r="B127" s="645"/>
      <c r="C127" s="647" t="s">
        <v>545</v>
      </c>
      <c r="D127" s="625">
        <v>0</v>
      </c>
      <c r="E127" s="646"/>
      <c r="F127" s="646"/>
      <c r="G127" s="646"/>
      <c r="H127" s="625">
        <v>0</v>
      </c>
    </row>
    <row r="128" spans="1:8">
      <c r="A128" s="645"/>
      <c r="B128" s="645"/>
      <c r="C128" s="647" t="s">
        <v>546</v>
      </c>
      <c r="D128" s="625">
        <v>0</v>
      </c>
      <c r="E128" s="646"/>
      <c r="F128" s="646"/>
      <c r="G128" s="646"/>
      <c r="H128" s="625">
        <v>0</v>
      </c>
    </row>
    <row r="129" spans="3:3">
      <c r="C129" s="631" t="s">
        <v>651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pane ySplit="1" topLeftCell="A2" activePane="bottomLeft" state="frozenSplit"/>
      <selection pane="bottomLeft" activeCell="A20" sqref="A20"/>
    </sheetView>
  </sheetViews>
  <sheetFormatPr baseColWidth="10" defaultColWidth="11.42578125" defaultRowHeight="12"/>
  <cols>
    <col min="1" max="1" width="20" style="651" bestFit="1" customWidth="1"/>
    <col min="2" max="2" width="5" style="667" bestFit="1" customWidth="1"/>
    <col min="3" max="3" width="1.5703125" style="651" customWidth="1"/>
    <col min="4" max="4" width="17.28515625" style="651" bestFit="1" customWidth="1"/>
    <col min="5" max="5" width="5" style="667" bestFit="1" customWidth="1"/>
    <col min="6" max="6" width="1.28515625" style="651" customWidth="1"/>
    <col min="7" max="7" width="20.5703125" style="651" bestFit="1" customWidth="1"/>
    <col min="8" max="8" width="5" style="667" bestFit="1" customWidth="1"/>
    <col min="9" max="9" width="1.28515625" style="651" customWidth="1"/>
    <col min="10" max="10" width="20.5703125" style="651" bestFit="1" customWidth="1"/>
    <col min="11" max="11" width="5" style="651" bestFit="1" customWidth="1"/>
    <col min="12" max="12" width="2.42578125" style="651" customWidth="1"/>
    <col min="13" max="13" width="15.140625" style="651" bestFit="1" customWidth="1"/>
    <col min="14" max="16384" width="11.42578125" style="651"/>
  </cols>
  <sheetData>
    <row r="1" spans="1:14" ht="12.75">
      <c r="A1" s="649" t="s">
        <v>672</v>
      </c>
      <c r="B1" s="650" t="s">
        <v>442</v>
      </c>
      <c r="D1" s="652" t="s">
        <v>673</v>
      </c>
      <c r="E1" s="653" t="s">
        <v>442</v>
      </c>
      <c r="G1" s="654" t="s">
        <v>674</v>
      </c>
      <c r="H1" s="655" t="s">
        <v>442</v>
      </c>
      <c r="J1" s="678" t="s">
        <v>726</v>
      </c>
      <c r="K1" s="668" t="s">
        <v>442</v>
      </c>
      <c r="M1" s="679" t="s">
        <v>759</v>
      </c>
      <c r="N1" s="674" t="s">
        <v>442</v>
      </c>
    </row>
    <row r="2" spans="1:14" ht="12.75">
      <c r="A2" s="656" t="s">
        <v>211</v>
      </c>
      <c r="B2" s="657">
        <v>0</v>
      </c>
      <c r="D2" s="658" t="s">
        <v>211</v>
      </c>
      <c r="E2" s="659">
        <v>0</v>
      </c>
      <c r="G2" s="660" t="s">
        <v>211</v>
      </c>
      <c r="H2" s="661">
        <v>0</v>
      </c>
      <c r="J2" s="656" t="s">
        <v>211</v>
      </c>
      <c r="K2" s="657">
        <v>0</v>
      </c>
      <c r="M2" s="675" t="s">
        <v>211</v>
      </c>
      <c r="N2" s="542">
        <v>0</v>
      </c>
    </row>
    <row r="3" spans="1:14" ht="12.75">
      <c r="A3" s="662" t="s">
        <v>652</v>
      </c>
      <c r="B3" s="657">
        <v>35</v>
      </c>
      <c r="D3" s="663" t="s">
        <v>714</v>
      </c>
      <c r="E3" s="659">
        <v>71</v>
      </c>
      <c r="G3" s="664" t="s">
        <v>708</v>
      </c>
      <c r="H3" s="661">
        <v>20</v>
      </c>
      <c r="J3" s="662" t="s">
        <v>652</v>
      </c>
      <c r="K3" s="657">
        <v>35</v>
      </c>
      <c r="M3" s="676" t="s">
        <v>738</v>
      </c>
      <c r="N3" s="677">
        <v>222</v>
      </c>
    </row>
    <row r="4" spans="1:14" ht="12.75">
      <c r="A4" s="662" t="s">
        <v>653</v>
      </c>
      <c r="B4" s="665">
        <v>43</v>
      </c>
      <c r="C4" s="666"/>
      <c r="D4" s="663" t="s">
        <v>715</v>
      </c>
      <c r="E4" s="659">
        <v>77</v>
      </c>
      <c r="G4" s="664" t="s">
        <v>709</v>
      </c>
      <c r="H4" s="661">
        <v>30</v>
      </c>
      <c r="J4" s="662" t="s">
        <v>653</v>
      </c>
      <c r="K4" s="665">
        <v>43</v>
      </c>
      <c r="M4" s="676" t="s">
        <v>739</v>
      </c>
      <c r="N4" s="677">
        <v>327.5</v>
      </c>
    </row>
    <row r="5" spans="1:14" ht="12.75">
      <c r="A5" s="662" t="s">
        <v>654</v>
      </c>
      <c r="B5" s="657">
        <v>50</v>
      </c>
      <c r="C5" s="666"/>
      <c r="D5" s="663" t="s">
        <v>716</v>
      </c>
      <c r="E5" s="659">
        <v>82</v>
      </c>
      <c r="G5" s="664" t="s">
        <v>710</v>
      </c>
      <c r="H5" s="661">
        <v>40</v>
      </c>
      <c r="J5" s="662" t="s">
        <v>654</v>
      </c>
      <c r="K5" s="657">
        <v>50</v>
      </c>
      <c r="M5" s="676" t="s">
        <v>740</v>
      </c>
      <c r="N5" s="677">
        <v>433</v>
      </c>
    </row>
    <row r="6" spans="1:14" ht="12.75">
      <c r="A6" s="662" t="s">
        <v>655</v>
      </c>
      <c r="B6" s="657">
        <v>87</v>
      </c>
      <c r="C6" s="666"/>
      <c r="D6" s="663" t="s">
        <v>717</v>
      </c>
      <c r="E6" s="659">
        <v>45</v>
      </c>
      <c r="G6" s="664" t="s">
        <v>711</v>
      </c>
      <c r="H6" s="661">
        <v>65</v>
      </c>
      <c r="J6" s="662" t="s">
        <v>655</v>
      </c>
      <c r="K6" s="657">
        <v>87</v>
      </c>
      <c r="M6" s="676" t="s">
        <v>741</v>
      </c>
      <c r="N6" s="677">
        <v>298</v>
      </c>
    </row>
    <row r="7" spans="1:14" ht="12.75">
      <c r="A7" s="662" t="s">
        <v>656</v>
      </c>
      <c r="B7" s="657">
        <v>99</v>
      </c>
      <c r="C7" s="666"/>
      <c r="D7" s="663" t="s">
        <v>718</v>
      </c>
      <c r="E7" s="659">
        <v>55</v>
      </c>
      <c r="G7" s="664" t="s">
        <v>712</v>
      </c>
      <c r="H7" s="661">
        <v>78</v>
      </c>
      <c r="J7" s="662" t="s">
        <v>656</v>
      </c>
      <c r="K7" s="657">
        <v>99</v>
      </c>
      <c r="M7" s="676" t="s">
        <v>742</v>
      </c>
      <c r="N7" s="677">
        <v>405</v>
      </c>
    </row>
    <row r="8" spans="1:14" ht="12.75">
      <c r="A8" s="662" t="s">
        <v>657</v>
      </c>
      <c r="B8" s="657">
        <v>110</v>
      </c>
      <c r="C8" s="666"/>
      <c r="D8" s="663" t="s">
        <v>719</v>
      </c>
      <c r="E8" s="659">
        <v>65</v>
      </c>
      <c r="G8" s="664" t="s">
        <v>713</v>
      </c>
      <c r="H8" s="661">
        <v>90</v>
      </c>
      <c r="J8" s="662" t="s">
        <v>657</v>
      </c>
      <c r="K8" s="657">
        <v>110</v>
      </c>
      <c r="M8" s="676" t="s">
        <v>743</v>
      </c>
      <c r="N8" s="677">
        <v>512</v>
      </c>
    </row>
    <row r="9" spans="1:14" ht="12.75">
      <c r="A9" s="662" t="s">
        <v>658</v>
      </c>
      <c r="B9" s="657">
        <v>145</v>
      </c>
      <c r="C9" s="666"/>
      <c r="D9" s="663" t="s">
        <v>720</v>
      </c>
      <c r="E9" s="659">
        <v>70</v>
      </c>
      <c r="G9" s="664" t="s">
        <v>705</v>
      </c>
      <c r="H9" s="661">
        <v>75</v>
      </c>
      <c r="J9" s="662" t="s">
        <v>658</v>
      </c>
      <c r="K9" s="657">
        <v>145</v>
      </c>
      <c r="M9" s="676" t="s">
        <v>744</v>
      </c>
      <c r="N9" s="677">
        <v>252</v>
      </c>
    </row>
    <row r="10" spans="1:14" ht="12.75">
      <c r="A10" s="662" t="s">
        <v>659</v>
      </c>
      <c r="B10" s="657">
        <v>198</v>
      </c>
      <c r="C10" s="666"/>
      <c r="D10" s="663" t="s">
        <v>721</v>
      </c>
      <c r="E10" s="659">
        <v>73</v>
      </c>
      <c r="G10" s="664" t="s">
        <v>706</v>
      </c>
      <c r="H10" s="661">
        <v>113</v>
      </c>
      <c r="J10" s="662" t="s">
        <v>659</v>
      </c>
      <c r="K10" s="657">
        <v>198</v>
      </c>
      <c r="M10" s="676" t="s">
        <v>745</v>
      </c>
      <c r="N10" s="677">
        <v>357.5</v>
      </c>
    </row>
    <row r="11" spans="1:14" ht="12.75">
      <c r="A11" s="662" t="s">
        <v>660</v>
      </c>
      <c r="B11" s="657">
        <v>250</v>
      </c>
      <c r="C11" s="666"/>
      <c r="D11" s="663" t="s">
        <v>722</v>
      </c>
      <c r="E11" s="659">
        <v>75</v>
      </c>
      <c r="G11" s="664" t="s">
        <v>707</v>
      </c>
      <c r="H11" s="661">
        <v>150</v>
      </c>
      <c r="J11" s="662" t="s">
        <v>660</v>
      </c>
      <c r="K11" s="657">
        <v>250</v>
      </c>
      <c r="M11" s="676" t="s">
        <v>746</v>
      </c>
      <c r="N11" s="677">
        <v>463</v>
      </c>
    </row>
    <row r="12" spans="1:14" ht="12.75">
      <c r="A12" s="662" t="s">
        <v>661</v>
      </c>
      <c r="B12" s="657">
        <v>114</v>
      </c>
      <c r="C12" s="666"/>
      <c r="D12" s="663" t="s">
        <v>723</v>
      </c>
      <c r="E12" s="659">
        <v>20</v>
      </c>
      <c r="G12" s="663" t="s">
        <v>723</v>
      </c>
      <c r="H12" s="659">
        <v>20</v>
      </c>
      <c r="J12" s="662" t="s">
        <v>661</v>
      </c>
      <c r="K12" s="657">
        <v>114</v>
      </c>
      <c r="M12" s="676" t="s">
        <v>747</v>
      </c>
      <c r="N12" s="677">
        <v>328</v>
      </c>
    </row>
    <row r="13" spans="1:14" ht="12.75">
      <c r="A13" s="662" t="s">
        <v>662</v>
      </c>
      <c r="B13" s="657">
        <v>167</v>
      </c>
      <c r="C13" s="666"/>
      <c r="D13" s="663" t="s">
        <v>724</v>
      </c>
      <c r="E13" s="659">
        <v>23</v>
      </c>
      <c r="G13" s="663" t="s">
        <v>724</v>
      </c>
      <c r="H13" s="659">
        <v>23</v>
      </c>
      <c r="J13" s="662" t="s">
        <v>662</v>
      </c>
      <c r="K13" s="657">
        <v>167</v>
      </c>
      <c r="M13" s="676" t="s">
        <v>748</v>
      </c>
      <c r="N13" s="677">
        <v>435</v>
      </c>
    </row>
    <row r="14" spans="1:14" ht="12.75">
      <c r="A14" s="662" t="s">
        <v>663</v>
      </c>
      <c r="B14" s="657">
        <v>219</v>
      </c>
      <c r="C14" s="666"/>
      <c r="D14" s="663" t="s">
        <v>725</v>
      </c>
      <c r="E14" s="659">
        <v>25</v>
      </c>
      <c r="G14" s="663" t="s">
        <v>725</v>
      </c>
      <c r="H14" s="659">
        <v>25</v>
      </c>
      <c r="J14" s="662" t="s">
        <v>663</v>
      </c>
      <c r="K14" s="657">
        <v>219</v>
      </c>
      <c r="M14" s="676" t="s">
        <v>749</v>
      </c>
      <c r="N14" s="677">
        <v>542</v>
      </c>
    </row>
    <row r="15" spans="1:14" ht="12.75">
      <c r="A15" s="662" t="s">
        <v>664</v>
      </c>
      <c r="B15" s="657">
        <v>102</v>
      </c>
      <c r="C15" s="666"/>
      <c r="D15" s="684" t="s">
        <v>675</v>
      </c>
      <c r="E15" s="685" t="s">
        <v>211</v>
      </c>
      <c r="G15" s="684" t="s">
        <v>685</v>
      </c>
      <c r="H15" s="685" t="s">
        <v>211</v>
      </c>
      <c r="J15" s="662" t="s">
        <v>664</v>
      </c>
      <c r="K15" s="657">
        <v>102</v>
      </c>
      <c r="M15" s="686" t="s">
        <v>750</v>
      </c>
      <c r="N15" s="685" t="s">
        <v>211</v>
      </c>
    </row>
    <row r="16" spans="1:14" ht="12.75">
      <c r="A16" s="662" t="s">
        <v>665</v>
      </c>
      <c r="B16" s="657">
        <v>154</v>
      </c>
      <c r="C16" s="666"/>
      <c r="D16" s="684" t="s">
        <v>676</v>
      </c>
      <c r="E16" s="685" t="s">
        <v>211</v>
      </c>
      <c r="G16" s="684" t="s">
        <v>686</v>
      </c>
      <c r="H16" s="685" t="s">
        <v>211</v>
      </c>
      <c r="J16" s="662" t="s">
        <v>665</v>
      </c>
      <c r="K16" s="657">
        <v>154</v>
      </c>
      <c r="M16" s="686" t="s">
        <v>751</v>
      </c>
      <c r="N16" s="685" t="s">
        <v>211</v>
      </c>
    </row>
    <row r="17" spans="1:18" ht="12.75">
      <c r="A17" s="662" t="s">
        <v>666</v>
      </c>
      <c r="B17" s="657">
        <v>128</v>
      </c>
      <c r="C17" s="666"/>
      <c r="D17" s="684" t="s">
        <v>677</v>
      </c>
      <c r="E17" s="685" t="s">
        <v>211</v>
      </c>
      <c r="G17" s="684" t="s">
        <v>687</v>
      </c>
      <c r="H17" s="685" t="s">
        <v>211</v>
      </c>
      <c r="J17" s="662" t="s">
        <v>666</v>
      </c>
      <c r="K17" s="657">
        <v>128</v>
      </c>
      <c r="M17" s="686" t="s">
        <v>752</v>
      </c>
      <c r="N17" s="685" t="s">
        <v>211</v>
      </c>
    </row>
    <row r="18" spans="1:18" ht="12.75">
      <c r="A18" s="662" t="s">
        <v>667</v>
      </c>
      <c r="B18" s="657">
        <v>149</v>
      </c>
      <c r="C18" s="666"/>
      <c r="D18" s="684" t="s">
        <v>678</v>
      </c>
      <c r="E18" s="685" t="s">
        <v>211</v>
      </c>
      <c r="G18" s="684" t="s">
        <v>688</v>
      </c>
      <c r="H18" s="685" t="s">
        <v>211</v>
      </c>
      <c r="J18" s="662" t="s">
        <v>667</v>
      </c>
      <c r="K18" s="657">
        <v>149</v>
      </c>
      <c r="M18" s="686" t="s">
        <v>753</v>
      </c>
      <c r="N18" s="685" t="s">
        <v>211</v>
      </c>
    </row>
    <row r="19" spans="1:18" ht="12.75">
      <c r="A19" s="662" t="s">
        <v>668</v>
      </c>
      <c r="B19" s="657">
        <v>161</v>
      </c>
      <c r="C19" s="666"/>
      <c r="D19" s="684" t="s">
        <v>679</v>
      </c>
      <c r="E19" s="685" t="s">
        <v>211</v>
      </c>
      <c r="G19" s="684" t="s">
        <v>689</v>
      </c>
      <c r="H19" s="685" t="s">
        <v>211</v>
      </c>
      <c r="J19" s="662" t="s">
        <v>668</v>
      </c>
      <c r="K19" s="657">
        <v>161</v>
      </c>
      <c r="M19" s="686" t="s">
        <v>754</v>
      </c>
      <c r="N19" s="685" t="s">
        <v>211</v>
      </c>
    </row>
    <row r="20" spans="1:18" ht="12.75">
      <c r="A20" s="662" t="s">
        <v>737</v>
      </c>
      <c r="B20" s="657">
        <v>173</v>
      </c>
      <c r="C20" s="666"/>
      <c r="D20" s="684" t="s">
        <v>680</v>
      </c>
      <c r="E20" s="685" t="s">
        <v>211</v>
      </c>
      <c r="G20" s="684" t="s">
        <v>690</v>
      </c>
      <c r="H20" s="685" t="s">
        <v>211</v>
      </c>
      <c r="J20" s="662" t="s">
        <v>737</v>
      </c>
      <c r="K20" s="657">
        <v>173</v>
      </c>
      <c r="M20" s="686" t="s">
        <v>755</v>
      </c>
      <c r="N20" s="685" t="s">
        <v>211</v>
      </c>
    </row>
    <row r="21" spans="1:18" ht="12.75">
      <c r="A21" s="662" t="s">
        <v>669</v>
      </c>
      <c r="B21" s="657">
        <v>185</v>
      </c>
      <c r="C21" s="666"/>
      <c r="D21" s="684" t="s">
        <v>681</v>
      </c>
      <c r="E21" s="685" t="s">
        <v>211</v>
      </c>
      <c r="G21" s="684" t="s">
        <v>691</v>
      </c>
      <c r="H21" s="685" t="s">
        <v>211</v>
      </c>
      <c r="J21" s="662" t="s">
        <v>669</v>
      </c>
      <c r="K21" s="657">
        <v>185</v>
      </c>
      <c r="M21" s="686" t="s">
        <v>756</v>
      </c>
      <c r="N21" s="685" t="s">
        <v>211</v>
      </c>
    </row>
    <row r="22" spans="1:18" ht="12.75">
      <c r="A22" s="662" t="s">
        <v>670</v>
      </c>
      <c r="B22" s="657">
        <v>205</v>
      </c>
      <c r="C22" s="666"/>
      <c r="D22" s="684" t="s">
        <v>682</v>
      </c>
      <c r="E22" s="685" t="s">
        <v>211</v>
      </c>
      <c r="G22" s="684" t="s">
        <v>692</v>
      </c>
      <c r="H22" s="685" t="s">
        <v>211</v>
      </c>
      <c r="J22" s="662" t="s">
        <v>670</v>
      </c>
      <c r="K22" s="657">
        <v>205</v>
      </c>
      <c r="M22" s="686" t="s">
        <v>757</v>
      </c>
      <c r="N22" s="685" t="s">
        <v>211</v>
      </c>
    </row>
    <row r="23" spans="1:18" ht="12.75">
      <c r="A23" s="662" t="s">
        <v>671</v>
      </c>
      <c r="B23" s="657">
        <v>225</v>
      </c>
      <c r="C23" s="666"/>
      <c r="D23" s="684" t="s">
        <v>683</v>
      </c>
      <c r="E23" s="685" t="s">
        <v>211</v>
      </c>
      <c r="G23" s="684" t="s">
        <v>693</v>
      </c>
      <c r="H23" s="685" t="s">
        <v>211</v>
      </c>
      <c r="J23" s="662" t="s">
        <v>671</v>
      </c>
      <c r="K23" s="657">
        <v>225</v>
      </c>
      <c r="M23" s="686" t="s">
        <v>758</v>
      </c>
      <c r="N23" s="685" t="s">
        <v>211</v>
      </c>
    </row>
    <row r="24" spans="1:18" ht="15">
      <c r="A24" s="684" t="s">
        <v>695</v>
      </c>
      <c r="B24" s="685" t="s">
        <v>211</v>
      </c>
      <c r="C24" s="666"/>
      <c r="D24" s="684" t="s">
        <v>684</v>
      </c>
      <c r="E24" s="685" t="s">
        <v>211</v>
      </c>
      <c r="G24" s="684" t="s">
        <v>694</v>
      </c>
      <c r="H24" s="685" t="s">
        <v>211</v>
      </c>
      <c r="J24" s="664" t="s">
        <v>708</v>
      </c>
      <c r="K24" s="661">
        <v>20</v>
      </c>
      <c r="M24" s="672"/>
      <c r="N24" s="673"/>
      <c r="O24" s="673"/>
      <c r="P24" s="673"/>
      <c r="Q24" s="673"/>
      <c r="R24" s="673"/>
    </row>
    <row r="25" spans="1:18" ht="15">
      <c r="A25" s="684" t="s">
        <v>696</v>
      </c>
      <c r="B25" s="685" t="s">
        <v>211</v>
      </c>
      <c r="J25" s="664" t="s">
        <v>709</v>
      </c>
      <c r="K25" s="661">
        <v>30</v>
      </c>
      <c r="M25" s="672"/>
      <c r="N25" s="673"/>
      <c r="O25" s="673"/>
      <c r="P25" s="673"/>
      <c r="Q25" s="673"/>
      <c r="R25" s="673"/>
    </row>
    <row r="26" spans="1:18" ht="15">
      <c r="A26" s="684" t="s">
        <v>697</v>
      </c>
      <c r="B26" s="685" t="s">
        <v>211</v>
      </c>
      <c r="J26" s="664" t="s">
        <v>710</v>
      </c>
      <c r="K26" s="661">
        <v>40</v>
      </c>
      <c r="M26" s="672"/>
      <c r="N26" s="673"/>
      <c r="O26" s="673"/>
      <c r="P26" s="673"/>
      <c r="Q26" s="673"/>
      <c r="R26" s="673"/>
    </row>
    <row r="27" spans="1:18" ht="15">
      <c r="A27" s="684" t="s">
        <v>698</v>
      </c>
      <c r="B27" s="685" t="s">
        <v>211</v>
      </c>
      <c r="J27" s="664" t="s">
        <v>711</v>
      </c>
      <c r="K27" s="661">
        <v>65</v>
      </c>
      <c r="M27" s="672"/>
      <c r="N27" s="673"/>
      <c r="O27" s="673"/>
      <c r="P27" s="673"/>
      <c r="Q27" s="673"/>
      <c r="R27" s="673"/>
    </row>
    <row r="28" spans="1:18" ht="15">
      <c r="A28" s="684" t="s">
        <v>699</v>
      </c>
      <c r="B28" s="685" t="s">
        <v>211</v>
      </c>
      <c r="J28" s="664" t="s">
        <v>712</v>
      </c>
      <c r="K28" s="661">
        <v>78</v>
      </c>
      <c r="M28" s="672"/>
      <c r="N28" s="672"/>
      <c r="O28" s="672"/>
      <c r="P28" s="672"/>
      <c r="Q28" s="672"/>
      <c r="R28" s="672"/>
    </row>
    <row r="29" spans="1:18" ht="15">
      <c r="A29" s="684" t="s">
        <v>700</v>
      </c>
      <c r="B29" s="685" t="s">
        <v>211</v>
      </c>
      <c r="J29" s="664" t="s">
        <v>713</v>
      </c>
      <c r="K29" s="661">
        <v>90</v>
      </c>
      <c r="M29" s="672"/>
      <c r="N29" s="672"/>
      <c r="O29" s="672"/>
      <c r="P29" s="672"/>
      <c r="Q29" s="672"/>
      <c r="R29" s="672"/>
    </row>
    <row r="30" spans="1:18" ht="15">
      <c r="A30" s="684" t="s">
        <v>701</v>
      </c>
      <c r="B30" s="685" t="s">
        <v>211</v>
      </c>
      <c r="J30" s="664" t="s">
        <v>705</v>
      </c>
      <c r="K30" s="661">
        <v>75</v>
      </c>
      <c r="M30" s="672"/>
      <c r="N30" s="672"/>
      <c r="O30" s="672"/>
      <c r="P30" s="672"/>
      <c r="Q30" s="672"/>
      <c r="R30" s="672"/>
    </row>
    <row r="31" spans="1:18" ht="15">
      <c r="A31" s="684" t="s">
        <v>702</v>
      </c>
      <c r="B31" s="685" t="s">
        <v>211</v>
      </c>
      <c r="J31" s="664" t="s">
        <v>706</v>
      </c>
      <c r="K31" s="661">
        <v>113</v>
      </c>
      <c r="M31" s="672"/>
      <c r="N31" s="672"/>
      <c r="O31" s="672"/>
      <c r="P31" s="672"/>
      <c r="Q31" s="672"/>
      <c r="R31" s="672"/>
    </row>
    <row r="32" spans="1:18">
      <c r="A32" s="684" t="s">
        <v>703</v>
      </c>
      <c r="B32" s="685" t="s">
        <v>211</v>
      </c>
      <c r="J32" s="664" t="s">
        <v>707</v>
      </c>
      <c r="K32" s="661">
        <v>150</v>
      </c>
    </row>
    <row r="33" spans="1:11">
      <c r="A33" s="684" t="s">
        <v>704</v>
      </c>
      <c r="B33" s="685" t="s">
        <v>211</v>
      </c>
      <c r="J33" s="663" t="s">
        <v>723</v>
      </c>
      <c r="K33" s="659">
        <v>20</v>
      </c>
    </row>
    <row r="34" spans="1:11">
      <c r="J34" s="663" t="s">
        <v>724</v>
      </c>
      <c r="K34" s="659">
        <v>23</v>
      </c>
    </row>
    <row r="35" spans="1:11">
      <c r="J35" s="663" t="s">
        <v>725</v>
      </c>
      <c r="K35" s="659">
        <v>25</v>
      </c>
    </row>
    <row r="36" spans="1:11">
      <c r="J36" s="684" t="s">
        <v>727</v>
      </c>
      <c r="K36" s="685" t="s">
        <v>211</v>
      </c>
    </row>
    <row r="37" spans="1:11">
      <c r="J37" s="684" t="s">
        <v>728</v>
      </c>
      <c r="K37" s="685" t="s">
        <v>211</v>
      </c>
    </row>
    <row r="38" spans="1:11">
      <c r="J38" s="684" t="s">
        <v>729</v>
      </c>
      <c r="K38" s="685" t="s">
        <v>211</v>
      </c>
    </row>
    <row r="39" spans="1:11">
      <c r="J39" s="684" t="s">
        <v>730</v>
      </c>
      <c r="K39" s="685" t="s">
        <v>211</v>
      </c>
    </row>
    <row r="40" spans="1:11">
      <c r="J40" s="684" t="s">
        <v>731</v>
      </c>
      <c r="K40" s="685" t="s">
        <v>211</v>
      </c>
    </row>
    <row r="41" spans="1:11">
      <c r="J41" s="684" t="s">
        <v>732</v>
      </c>
      <c r="K41" s="685" t="s">
        <v>211</v>
      </c>
    </row>
    <row r="42" spans="1:11">
      <c r="J42" s="684" t="s">
        <v>733</v>
      </c>
      <c r="K42" s="685" t="s">
        <v>211</v>
      </c>
    </row>
    <row r="43" spans="1:11">
      <c r="J43" s="684" t="s">
        <v>734</v>
      </c>
      <c r="K43" s="685" t="s">
        <v>211</v>
      </c>
    </row>
    <row r="44" spans="1:11">
      <c r="J44" s="684" t="s">
        <v>735</v>
      </c>
      <c r="K44" s="685" t="s">
        <v>211</v>
      </c>
    </row>
    <row r="45" spans="1:11">
      <c r="J45" s="684" t="s">
        <v>736</v>
      </c>
      <c r="K45" s="685" t="s">
        <v>211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F44" sqref="F44"/>
    </sheetView>
  </sheetViews>
  <sheetFormatPr baseColWidth="10" defaultRowHeight="12.75"/>
  <cols>
    <col min="1" max="1" width="49.7109375" bestFit="1" customWidth="1"/>
    <col min="2" max="2" width="12.7109375" style="726" bestFit="1" customWidth="1"/>
    <col min="3" max="3" width="12.42578125" style="726" bestFit="1" customWidth="1"/>
    <col min="7" max="7" width="49.140625" bestFit="1" customWidth="1"/>
  </cols>
  <sheetData>
    <row r="1" spans="1:6" ht="15.75" thickBot="1">
      <c r="A1" s="452" t="s">
        <v>909</v>
      </c>
      <c r="B1" s="725" t="s">
        <v>978</v>
      </c>
      <c r="C1" s="725" t="s">
        <v>979</v>
      </c>
      <c r="D1" s="725" t="s">
        <v>980</v>
      </c>
      <c r="E1" s="725" t="s">
        <v>981</v>
      </c>
    </row>
    <row r="2" spans="1:6" ht="14.25" hidden="1">
      <c r="A2" s="453" t="s">
        <v>959</v>
      </c>
      <c r="B2" s="717">
        <f>'BalanceTermico Inicial'!O3</f>
        <v>10.712483751279622</v>
      </c>
      <c r="C2" s="717">
        <f>'BalanceTermico Final'!O3</f>
        <v>10.712483751279622</v>
      </c>
      <c r="D2" s="723">
        <f>'BalanceTermico Inicial'!O9</f>
        <v>-0.14079095668991432</v>
      </c>
      <c r="E2" s="718">
        <f>'BalanceTermico Final'!O9</f>
        <v>-0.14079095668991432</v>
      </c>
    </row>
    <row r="3" spans="1:6" ht="14.25">
      <c r="A3" s="722" t="s">
        <v>962</v>
      </c>
      <c r="B3" s="717">
        <f>CalculationBefore!Q257</f>
        <v>0.17352835450236964</v>
      </c>
      <c r="C3" s="717">
        <f>CalculationAfter!Q257</f>
        <v>0.17352835450236964</v>
      </c>
      <c r="D3" s="724">
        <f>CalculationBefore!Q271</f>
        <v>-2.28063104789278E-3</v>
      </c>
      <c r="E3" s="723">
        <f>CalculationAfter!Q271</f>
        <v>-2.28063104789278E-3</v>
      </c>
      <c r="F3" s="695"/>
    </row>
    <row r="4" spans="1:6" ht="14.25">
      <c r="A4" s="722" t="s">
        <v>963</v>
      </c>
      <c r="B4" s="717">
        <f>CalculationBefore!Q258</f>
        <v>0</v>
      </c>
      <c r="C4" s="717">
        <f>CalculationAfter!Q258</f>
        <v>0</v>
      </c>
      <c r="D4" s="724">
        <f>CalculationBefore!Q272</f>
        <v>0</v>
      </c>
      <c r="E4" s="723">
        <f>CalculationAfter!Q272</f>
        <v>0</v>
      </c>
      <c r="F4" s="695"/>
    </row>
    <row r="5" spans="1:6" ht="14.25">
      <c r="A5" s="722" t="s">
        <v>964</v>
      </c>
      <c r="B5" s="717">
        <f>CalculationBefore!Q259</f>
        <v>3.0425304822748824</v>
      </c>
      <c r="C5" s="717">
        <f>CalculationAfter!Q259</f>
        <v>3.0425304822748824</v>
      </c>
      <c r="D5" s="724">
        <f>CalculationBefore!Q273</f>
        <v>-3.9987064373053417E-2</v>
      </c>
      <c r="E5" s="723">
        <f>CalculationAfter!Q273</f>
        <v>-3.9987064373053417E-2</v>
      </c>
      <c r="F5" s="695"/>
    </row>
    <row r="6" spans="1:6" ht="14.25">
      <c r="A6" s="722" t="s">
        <v>965</v>
      </c>
      <c r="B6" s="717">
        <f>CalculationBefore!Q260</f>
        <v>4.4538944322274894</v>
      </c>
      <c r="C6" s="717">
        <f>CalculationAfter!Q260</f>
        <v>4.4538944322274894</v>
      </c>
      <c r="D6" s="724">
        <f>CalculationBefore!Q274</f>
        <v>-5.8536196895914695E-2</v>
      </c>
      <c r="E6" s="723">
        <f>CalculationAfter!Q274</f>
        <v>-5.8536196895914695E-2</v>
      </c>
      <c r="F6" s="695"/>
    </row>
    <row r="7" spans="1:6" ht="14.25">
      <c r="A7" s="722" t="s">
        <v>966</v>
      </c>
      <c r="B7" s="717">
        <f>CalculationBefore!Q261</f>
        <v>3.0425304822748824</v>
      </c>
      <c r="C7" s="717">
        <f>CalculationAfter!Q261</f>
        <v>3.0425304822748824</v>
      </c>
      <c r="D7" s="724">
        <f>CalculationBefore!Q275</f>
        <v>-3.9987064373053417E-2</v>
      </c>
      <c r="E7" s="723">
        <f>CalculationAfter!Q275</f>
        <v>-3.9987064373053417E-2</v>
      </c>
      <c r="F7" s="695"/>
    </row>
    <row r="8" spans="1:6" ht="14.25">
      <c r="A8" s="722" t="s">
        <v>967</v>
      </c>
      <c r="B8" s="717">
        <f>CalculationBefore!Q262</f>
        <v>0</v>
      </c>
      <c r="C8" s="717">
        <f>CalculationAfter!Q262</f>
        <v>0</v>
      </c>
      <c r="D8" s="724">
        <f>CalculationBefore!Q276</f>
        <v>0</v>
      </c>
      <c r="E8" s="723">
        <f>CalculationAfter!Q276</f>
        <v>0</v>
      </c>
      <c r="F8" s="695"/>
    </row>
    <row r="9" spans="1:6" ht="14.25">
      <c r="A9" s="722" t="s">
        <v>968</v>
      </c>
      <c r="B9" s="717">
        <f>CalculationBefore!Q263</f>
        <v>0</v>
      </c>
      <c r="C9" s="717">
        <f>CalculationAfter!Q263</f>
        <v>0</v>
      </c>
      <c r="D9" s="724">
        <f>CalculationBefore!Q277</f>
        <v>0</v>
      </c>
      <c r="E9" s="723">
        <f>CalculationAfter!Q277</f>
        <v>0</v>
      </c>
      <c r="F9" s="695"/>
    </row>
    <row r="10" spans="1:6" ht="14.25">
      <c r="A10" s="722" t="s">
        <v>969</v>
      </c>
      <c r="B10" s="717">
        <f>CalculationBefore!Q264</f>
        <v>0</v>
      </c>
      <c r="C10" s="717">
        <f>CalculationAfter!Q264</f>
        <v>0</v>
      </c>
      <c r="D10" s="724">
        <f>CalculationBefore!Q278</f>
        <v>0</v>
      </c>
      <c r="E10" s="723">
        <f>CalculationAfter!Q278</f>
        <v>0</v>
      </c>
      <c r="F10" s="695"/>
    </row>
    <row r="11" spans="1:6" ht="14.25">
      <c r="A11" s="721" t="str">
        <f>CONCATENATE("Windows / ",DATA!$B$91)</f>
        <v>Windows / wall 1</v>
      </c>
      <c r="B11" s="717">
        <f>CalculationBefore!Q265</f>
        <v>0</v>
      </c>
      <c r="C11" s="717">
        <f>CalculationAfter!Q265</f>
        <v>0</v>
      </c>
      <c r="D11" s="724">
        <f>CalculationBefore!Q279</f>
        <v>0</v>
      </c>
      <c r="E11" s="723">
        <f>CalculationAfter!Q279</f>
        <v>0</v>
      </c>
      <c r="F11" s="695"/>
    </row>
    <row r="12" spans="1:6" ht="14.25">
      <c r="A12" s="721" t="str">
        <f>CONCATENATE("Windows / ",DATA!C91)</f>
        <v>Windows / wall 2</v>
      </c>
      <c r="B12" s="717">
        <f>CalculationBefore!Q266</f>
        <v>0</v>
      </c>
      <c r="C12" s="717">
        <f>CalculationAfter!Q266</f>
        <v>0</v>
      </c>
      <c r="D12" s="718">
        <f>CalculationBefore!Q280</f>
        <v>0</v>
      </c>
      <c r="E12" s="718">
        <f>CalculationAfter!Q280</f>
        <v>0</v>
      </c>
      <c r="F12" s="695"/>
    </row>
    <row r="13" spans="1:6" ht="14.25">
      <c r="A13" s="721" t="str">
        <f>CONCATENATE("Windows / ",DATA!D91)</f>
        <v>Windows / wall 3</v>
      </c>
      <c r="B13" s="717">
        <f>CalculationBefore!Q267</f>
        <v>0</v>
      </c>
      <c r="C13" s="717">
        <f>CalculationAfter!Q267</f>
        <v>0</v>
      </c>
      <c r="D13" s="718">
        <f>CalculationBefore!Q281</f>
        <v>0</v>
      </c>
      <c r="E13" s="718">
        <f>CalculationAfter!Q281</f>
        <v>0</v>
      </c>
      <c r="F13" s="695"/>
    </row>
    <row r="14" spans="1:6" ht="14.25">
      <c r="A14" s="721" t="str">
        <f>CONCATENATE("Windows / ",DATA!E91)</f>
        <v>Windows / wall 4</v>
      </c>
      <c r="B14" s="717">
        <f>CalculationBefore!Q268</f>
        <v>0</v>
      </c>
      <c r="C14" s="717">
        <f>CalculationAfter!Q268</f>
        <v>0</v>
      </c>
      <c r="D14" s="718">
        <f>CalculationBefore!Q282</f>
        <v>0</v>
      </c>
      <c r="E14" s="718">
        <f>CalculationAfter!Q282</f>
        <v>0</v>
      </c>
      <c r="F14" s="695"/>
    </row>
    <row r="15" spans="1:6" ht="14.25" hidden="1">
      <c r="A15" s="454" t="s">
        <v>960</v>
      </c>
      <c r="B15" s="717">
        <f>'BalanceTermico Inicial'!O4</f>
        <v>84.32414695229069</v>
      </c>
      <c r="C15" s="717">
        <f>'BalanceTermico Final'!O4</f>
        <v>84.32414695229069</v>
      </c>
      <c r="D15" s="718">
        <f>'BalanceTermico Inicial'!O10</f>
        <v>-1.1082469385361535</v>
      </c>
      <c r="E15" s="718">
        <f>'BalanceTermico Final'!O10</f>
        <v>-1.1082469385361535</v>
      </c>
    </row>
    <row r="16" spans="1:6" ht="14.25">
      <c r="A16" s="721" t="s">
        <v>970</v>
      </c>
      <c r="B16" s="717">
        <f>CalculationBefore!Q193</f>
        <v>4.8464951279620863</v>
      </c>
      <c r="C16" s="717">
        <f>CalculationAfter!Q193</f>
        <v>4.8464951279620863</v>
      </c>
      <c r="D16" s="718">
        <f>CalculationBefore!Q208</f>
        <v>-6.3696029931180426E-2</v>
      </c>
      <c r="E16" s="718">
        <f>CalculationAfter!Q208</f>
        <v>-6.3696029931180426E-2</v>
      </c>
    </row>
    <row r="17" spans="1:5" ht="14.25">
      <c r="A17" s="721" t="s">
        <v>971</v>
      </c>
      <c r="B17" s="717">
        <f>CalculationBefore!Q194</f>
        <v>0</v>
      </c>
      <c r="C17" s="717">
        <f>CalculationAfter!Q194</f>
        <v>0</v>
      </c>
      <c r="D17" s="718">
        <f>CalculationBefore!Q209</f>
        <v>0</v>
      </c>
      <c r="E17" s="718">
        <f>CalculationAfter!Q209</f>
        <v>0</v>
      </c>
    </row>
    <row r="18" spans="1:5" ht="14.25">
      <c r="A18" s="721" t="s">
        <v>972</v>
      </c>
      <c r="B18" s="717">
        <f>CalculationBefore!Q195</f>
        <v>23.652894779146926</v>
      </c>
      <c r="C18" s="717">
        <f>CalculationAfter!Q195</f>
        <v>23.652894779146926</v>
      </c>
      <c r="D18" s="718">
        <f>CalculationBefore!Q210</f>
        <v>-0.31086289246825588</v>
      </c>
      <c r="E18" s="718">
        <f>CalculationAfter!Q210</f>
        <v>-0.31086289246825588</v>
      </c>
    </row>
    <row r="19" spans="1:5" ht="14.25">
      <c r="A19" s="721" t="s">
        <v>973</v>
      </c>
      <c r="B19" s="717">
        <f>CalculationBefore!Q196</f>
        <v>11.541653345971564</v>
      </c>
      <c r="C19" s="717">
        <f>CalculationAfter!Q196</f>
        <v>11.541653345971564</v>
      </c>
      <c r="D19" s="718">
        <f>CalculationBefore!Q211</f>
        <v>-0.15168848365054308</v>
      </c>
      <c r="E19" s="718">
        <f>CalculationAfter!Q211</f>
        <v>-0.15168848365054308</v>
      </c>
    </row>
    <row r="20" spans="1:5" ht="14.25">
      <c r="A20" s="721" t="s">
        <v>974</v>
      </c>
      <c r="B20" s="717">
        <f>CalculationBefore!Q197</f>
        <v>23.652894779146926</v>
      </c>
      <c r="C20" s="717">
        <f>CalculationAfter!Q197</f>
        <v>23.652894779146926</v>
      </c>
      <c r="D20" s="718">
        <f>CalculationBefore!Q212</f>
        <v>-0.31086289246825588</v>
      </c>
      <c r="E20" s="718">
        <f>CalculationAfter!Q212</f>
        <v>-0.31086289246825588</v>
      </c>
    </row>
    <row r="21" spans="1:5" ht="14.25">
      <c r="A21" s="721" t="s">
        <v>975</v>
      </c>
      <c r="B21" s="717">
        <f>CalculationBefore!Q198</f>
        <v>0</v>
      </c>
      <c r="C21" s="717">
        <f>CalculationAfter!Q198</f>
        <v>0</v>
      </c>
      <c r="D21" s="718">
        <f>CalculationBefore!Q213</f>
        <v>0</v>
      </c>
      <c r="E21" s="718">
        <f>CalculationAfter!Q213</f>
        <v>0</v>
      </c>
    </row>
    <row r="22" spans="1:5" ht="14.25">
      <c r="A22" s="721" t="s">
        <v>792</v>
      </c>
      <c r="B22" s="717">
        <f>CalculationBefore!Q199</f>
        <v>17.192694849921018</v>
      </c>
      <c r="C22" s="717">
        <f>CalculationAfter!Q199</f>
        <v>17.192694849921018</v>
      </c>
      <c r="D22" s="718">
        <f>CalculationBefore!Q214</f>
        <v>-0.22595842497394694</v>
      </c>
      <c r="E22" s="718">
        <f>CalculationAfter!Q214</f>
        <v>-0.22595842497394694</v>
      </c>
    </row>
    <row r="23" spans="1:5" ht="14.25">
      <c r="A23" s="721" t="s">
        <v>976</v>
      </c>
      <c r="B23" s="717">
        <f>CalculationBefore!Q200</f>
        <v>0</v>
      </c>
      <c r="C23" s="717">
        <f>CalculationAfter!Q200</f>
        <v>0</v>
      </c>
      <c r="D23" s="718">
        <f>CalculationBefore!Q215</f>
        <v>0</v>
      </c>
      <c r="E23" s="718">
        <f>CalculationAfter!Q215</f>
        <v>0</v>
      </c>
    </row>
    <row r="24" spans="1:5" ht="14.25">
      <c r="A24" s="721" t="str">
        <f>DATA!$B$91</f>
        <v>wall 1</v>
      </c>
      <c r="B24" s="717">
        <f>CalculationBefore!Q201</f>
        <v>3.4375140701421807</v>
      </c>
      <c r="C24" s="717">
        <f>CalculationAfter!Q201</f>
        <v>3.4375140701421807</v>
      </c>
      <c r="D24" s="718">
        <f>CalculationBefore!Q216</f>
        <v>-4.5178215043971265E-2</v>
      </c>
      <c r="E24" s="718">
        <f>CalculationAfter!Q216</f>
        <v>-4.5178215043971265E-2</v>
      </c>
    </row>
    <row r="25" spans="1:5" ht="14.25">
      <c r="A25" s="721" t="str">
        <f>DATA!C91</f>
        <v>wall 2</v>
      </c>
      <c r="B25" s="717">
        <f>CalculationBefore!Q202</f>
        <v>0</v>
      </c>
      <c r="C25" s="717">
        <f>CalculationAfter!Q202</f>
        <v>0</v>
      </c>
      <c r="D25" s="718">
        <f>CalculationBefore!Q217</f>
        <v>0</v>
      </c>
      <c r="E25" s="718">
        <f>CalculationAfter!Q217</f>
        <v>0</v>
      </c>
    </row>
    <row r="26" spans="1:5" ht="14.25">
      <c r="A26" s="721" t="str">
        <f>DATA!D91</f>
        <v>wall 3</v>
      </c>
      <c r="B26" s="717">
        <f>CalculationBefore!Q203</f>
        <v>0</v>
      </c>
      <c r="C26" s="717">
        <f>CalculationAfter!Q203</f>
        <v>0</v>
      </c>
      <c r="D26" s="718">
        <f>CalculationBefore!Q218</f>
        <v>0</v>
      </c>
      <c r="E26" s="718">
        <f>CalculationAfter!Q218</f>
        <v>0</v>
      </c>
    </row>
    <row r="27" spans="1:5" ht="14.25">
      <c r="A27" s="721" t="str">
        <f>DATA!E91</f>
        <v>wall 4</v>
      </c>
      <c r="B27" s="717">
        <f>CalculationBefore!Q204</f>
        <v>0</v>
      </c>
      <c r="C27" s="717">
        <f>CalculationAfter!Q204</f>
        <v>0</v>
      </c>
      <c r="D27" s="718">
        <f>CalculationBefore!Q219</f>
        <v>0</v>
      </c>
      <c r="E27" s="718">
        <f>CalculationAfter!Q219</f>
        <v>0</v>
      </c>
    </row>
    <row r="28" spans="1:5" ht="14.25">
      <c r="A28" s="454" t="s">
        <v>961</v>
      </c>
      <c r="B28" s="717">
        <f>'BalanceTermico Inicial'!O5</f>
        <v>15.638295355450236</v>
      </c>
      <c r="C28" s="717">
        <f>'BalanceTermico Final'!O5</f>
        <v>15.638295355450236</v>
      </c>
      <c r="D28" s="718">
        <f>'BalanceTermico Inicial'!O11</f>
        <v>0</v>
      </c>
      <c r="E28" s="718">
        <f>'BalanceTermico Final'!O11</f>
        <v>0</v>
      </c>
    </row>
    <row r="29" spans="1:5" ht="14.25">
      <c r="A29" s="454" t="s">
        <v>977</v>
      </c>
      <c r="B29" s="717">
        <f>'BalanceTermico Inicial'!O6</f>
        <v>18.611348400000004</v>
      </c>
      <c r="C29" s="717">
        <f>'BalanceTermico Final'!O6</f>
        <v>18.611348400000004</v>
      </c>
      <c r="D29" s="719">
        <f>'BalanceTermico Inicial'!O12</f>
        <v>-0.24460336252200213</v>
      </c>
      <c r="E29" s="719">
        <f>'BalanceTermico Final'!O12</f>
        <v>-0.24460336252200213</v>
      </c>
    </row>
    <row r="30" spans="1:5" ht="14.25">
      <c r="A30" s="455" t="s">
        <v>912</v>
      </c>
      <c r="D30" s="718">
        <f>'BalanceTermico Inicial'!O7</f>
        <v>-13.845813851347327</v>
      </c>
      <c r="E30" s="718">
        <f>'BalanceTermico Final'!O7</f>
        <v>-13.845813851347327</v>
      </c>
    </row>
    <row r="31" spans="1:5" ht="15" thickBot="1">
      <c r="A31" s="455" t="s">
        <v>213</v>
      </c>
      <c r="D31" s="718">
        <f>'BalanceTermico Inicial'!O8</f>
        <v>-8.8952685671272551</v>
      </c>
      <c r="E31" s="718">
        <f>'BalanceTermico Final'!O8</f>
        <v>-8.8952685671272551</v>
      </c>
    </row>
    <row r="32" spans="1:5" ht="15.75" thickBot="1">
      <c r="A32" s="456" t="s">
        <v>33</v>
      </c>
      <c r="B32" s="720">
        <f>'BalanceTermico Inicial'!O13</f>
        <v>105.0515507827979</v>
      </c>
      <c r="C32" s="720">
        <f>'BalanceTermico Final'!O13</f>
        <v>105.0515507827979</v>
      </c>
    </row>
    <row r="33" spans="1:5" ht="13.5" thickBot="1"/>
    <row r="34" spans="1:5" ht="15.75" thickBot="1">
      <c r="A34" s="452" t="s">
        <v>910</v>
      </c>
      <c r="B34" s="725" t="s">
        <v>978</v>
      </c>
      <c r="C34" s="725" t="s">
        <v>979</v>
      </c>
      <c r="D34" s="725" t="s">
        <v>980</v>
      </c>
      <c r="E34" s="725" t="s">
        <v>981</v>
      </c>
    </row>
    <row r="35" spans="1:5" ht="14.25" hidden="1">
      <c r="A35" s="457" t="s">
        <v>911</v>
      </c>
      <c r="B35" s="727">
        <f>'BalanceTermico Inicial'!O16</f>
        <v>-2.0534869470003763</v>
      </c>
      <c r="C35" s="727">
        <f>'BalanceTermico Final'!O16</f>
        <v>-2.0534869470003763</v>
      </c>
      <c r="D35" s="714">
        <f>'BalanceTermico Inicial'!O22</f>
        <v>0.1877899912796209</v>
      </c>
      <c r="E35" s="714">
        <f>'BalanceTermico Final'!O22</f>
        <v>0.1877899912796209</v>
      </c>
    </row>
    <row r="36" spans="1:5" ht="14.25">
      <c r="A36" s="722" t="s">
        <v>962</v>
      </c>
      <c r="B36" s="727">
        <f>CalculationBefore!Q287</f>
        <v>-3.3263827435211279E-2</v>
      </c>
      <c r="C36" s="727">
        <f>CalculationAfter!Q287</f>
        <v>-3.3263827435211279E-2</v>
      </c>
      <c r="D36" s="729">
        <f>CalculationBefore!Q301</f>
        <v>3.0419545023696688E-3</v>
      </c>
      <c r="E36" s="729">
        <f>CalculationAfter!Q301</f>
        <v>3.0419545023696688E-3</v>
      </c>
    </row>
    <row r="37" spans="1:5" ht="14.25">
      <c r="A37" s="722" t="s">
        <v>963</v>
      </c>
      <c r="B37" s="727">
        <f>CalculationBefore!Q288</f>
        <v>0</v>
      </c>
      <c r="C37" s="727">
        <f>CalculationAfter!Q288</f>
        <v>0</v>
      </c>
      <c r="D37" s="729">
        <f>CalculationBefore!Q302</f>
        <v>0</v>
      </c>
      <c r="E37" s="729">
        <f>CalculationAfter!Q302</f>
        <v>0</v>
      </c>
    </row>
    <row r="38" spans="1:5" ht="14.25">
      <c r="A38" s="722" t="s">
        <v>964</v>
      </c>
      <c r="B38" s="727">
        <f>CalculationBefore!Q289</f>
        <v>-0.58322577436403777</v>
      </c>
      <c r="C38" s="727">
        <f>CalculationAfter!Q289</f>
        <v>-0.58322577436403777</v>
      </c>
      <c r="D38" s="729">
        <f>CalculationBefore!Q303</f>
        <v>5.3335602274881523E-2</v>
      </c>
      <c r="E38" s="729">
        <f>CalculationAfter!Q303</f>
        <v>5.3335602274881523E-2</v>
      </c>
    </row>
    <row r="39" spans="1:5" ht="14.25">
      <c r="A39" s="722" t="s">
        <v>965</v>
      </c>
      <c r="B39" s="727">
        <f>CalculationBefore!Q290</f>
        <v>-0.85377157083708954</v>
      </c>
      <c r="C39" s="727">
        <f>CalculationAfter!Q290</f>
        <v>-0.85377157083708954</v>
      </c>
      <c r="D39" s="729">
        <f>CalculationBefore!Q304</f>
        <v>7.807683222748818E-2</v>
      </c>
      <c r="E39" s="729">
        <f>CalculationAfter!Q304</f>
        <v>7.807683222748818E-2</v>
      </c>
    </row>
    <row r="40" spans="1:5" ht="14.25">
      <c r="A40" s="722" t="s">
        <v>966</v>
      </c>
      <c r="B40" s="727">
        <f>CalculationBefore!Q291</f>
        <v>-0.58322577436403777</v>
      </c>
      <c r="C40" s="727">
        <f>CalculationAfter!Q291</f>
        <v>-0.58322577436403777</v>
      </c>
      <c r="D40" s="729">
        <f>CalculationBefore!Q305</f>
        <v>5.3335602274881523E-2</v>
      </c>
      <c r="E40" s="729">
        <f>CalculationAfter!Q305</f>
        <v>5.3335602274881523E-2</v>
      </c>
    </row>
    <row r="41" spans="1:5" ht="14.25">
      <c r="A41" s="722" t="s">
        <v>967</v>
      </c>
      <c r="B41" s="727">
        <f>CalculationBefore!Q292</f>
        <v>0</v>
      </c>
      <c r="C41" s="727">
        <f>CalculationAfter!Q292</f>
        <v>0</v>
      </c>
      <c r="D41" s="729">
        <f>CalculationBefore!Q306</f>
        <v>0</v>
      </c>
      <c r="E41" s="729">
        <f>CalculationAfter!Q306</f>
        <v>0</v>
      </c>
    </row>
    <row r="42" spans="1:5" ht="14.25">
      <c r="A42" s="722" t="s">
        <v>968</v>
      </c>
      <c r="B42" s="727">
        <f>CalculationBefore!Q293</f>
        <v>0</v>
      </c>
      <c r="C42" s="727">
        <f>CalculationAfter!Q293</f>
        <v>0</v>
      </c>
      <c r="D42" s="729">
        <f>CalculationBefore!Q307</f>
        <v>0</v>
      </c>
      <c r="E42" s="729">
        <f>CalculationAfter!Q307</f>
        <v>0</v>
      </c>
    </row>
    <row r="43" spans="1:5" ht="14.25">
      <c r="A43" s="722" t="s">
        <v>969</v>
      </c>
      <c r="B43" s="727">
        <f>CalculationBefore!Q294</f>
        <v>0</v>
      </c>
      <c r="C43" s="727">
        <f>CalculationAfter!Q294</f>
        <v>0</v>
      </c>
      <c r="D43" s="729">
        <f>CalculationBefore!Q308</f>
        <v>0</v>
      </c>
      <c r="E43" s="729">
        <f>CalculationAfter!Q308</f>
        <v>0</v>
      </c>
    </row>
    <row r="44" spans="1:5" ht="14.25">
      <c r="A44" s="721" t="str">
        <f>CONCATENATE("Windows / ",DATA!$B$91)</f>
        <v>Windows / wall 1</v>
      </c>
      <c r="B44" s="727">
        <f>CalculationBefore!Q295</f>
        <v>0</v>
      </c>
      <c r="C44" s="727">
        <f>CalculationAfter!Q295</f>
        <v>0</v>
      </c>
      <c r="D44" s="729">
        <f>CalculationBefore!Q309</f>
        <v>0</v>
      </c>
      <c r="E44" s="729">
        <f>CalculationAfter!Q309</f>
        <v>0</v>
      </c>
    </row>
    <row r="45" spans="1:5" ht="14.25">
      <c r="A45" s="721" t="str">
        <f>CONCATENATE("Windows / ",DATA!C152)</f>
        <v xml:space="preserve">Windows / </v>
      </c>
      <c r="B45" s="727">
        <f>CalculationBefore!Q296</f>
        <v>0</v>
      </c>
      <c r="C45" s="727">
        <f>CalculationAfter!Q296</f>
        <v>0</v>
      </c>
      <c r="D45" s="729">
        <f>CalculationBefore!Q310</f>
        <v>0</v>
      </c>
      <c r="E45" s="729">
        <f>CalculationAfter!Q310</f>
        <v>0</v>
      </c>
    </row>
    <row r="46" spans="1:5" ht="14.25">
      <c r="A46" s="721" t="str">
        <f>CONCATENATE("Windows / ",DATA!D152)</f>
        <v xml:space="preserve">Windows / </v>
      </c>
      <c r="B46" s="727">
        <f>CalculationBefore!Q297</f>
        <v>0</v>
      </c>
      <c r="C46" s="727">
        <f>CalculationAfter!Q297</f>
        <v>0</v>
      </c>
      <c r="D46" s="729">
        <f>CalculationBefore!Q311</f>
        <v>0</v>
      </c>
      <c r="E46" s="729">
        <f>CalculationAfter!Q311</f>
        <v>0</v>
      </c>
    </row>
    <row r="47" spans="1:5" ht="14.25">
      <c r="A47" s="721" t="str">
        <f>CONCATENATE("Windows / ",DATA!E152)</f>
        <v xml:space="preserve">Windows / </v>
      </c>
      <c r="B47" s="727">
        <f>CalculationBefore!Q298</f>
        <v>0</v>
      </c>
      <c r="C47" s="727">
        <f>CalculationAfter!Q298</f>
        <v>0</v>
      </c>
      <c r="D47" s="729">
        <f>CalculationBefore!Q312</f>
        <v>0</v>
      </c>
      <c r="E47" s="729">
        <f>CalculationAfter!Q312</f>
        <v>0</v>
      </c>
    </row>
    <row r="48" spans="1:5" ht="14.25" hidden="1">
      <c r="A48" s="455" t="s">
        <v>960</v>
      </c>
      <c r="B48" s="715">
        <f>'BalanceTermico Inicial'!O17</f>
        <v>-16.164181818505583</v>
      </c>
      <c r="C48" s="715">
        <f>'BalanceTermico Final'!O17</f>
        <v>-16.164181818505583</v>
      </c>
      <c r="D48" s="714">
        <f>'BalanceTermico Inicial'!O23</f>
        <v>1.4782034856240132</v>
      </c>
      <c r="E48" s="714">
        <f>'BalanceTermico Final'!O23</f>
        <v>1.4782034856240132</v>
      </c>
    </row>
    <row r="49" spans="1:5" ht="14.25">
      <c r="A49" s="721" t="s">
        <v>970</v>
      </c>
      <c r="B49" s="715">
        <f>CalculationBefore!Q225</f>
        <v>-0.92902959902107252</v>
      </c>
      <c r="C49" s="715">
        <f>CalculationAfter!Q225</f>
        <v>-0.92902959902107252</v>
      </c>
      <c r="D49" s="714">
        <f>CalculationBefore!Q240</f>
        <v>8.4959127962085337E-2</v>
      </c>
      <c r="E49" s="714">
        <f>CalculationAfter!Q240</f>
        <v>8.4959127962085337E-2</v>
      </c>
    </row>
    <row r="50" spans="1:5" ht="14.25">
      <c r="A50" s="721" t="s">
        <v>971</v>
      </c>
      <c r="B50" s="715">
        <f>CalculationBefore!Q226</f>
        <v>0</v>
      </c>
      <c r="C50" s="715">
        <f>CalculationAfter!Q226</f>
        <v>0</v>
      </c>
      <c r="D50" s="714">
        <f>CalculationBefore!Q241</f>
        <v>0</v>
      </c>
      <c r="E50" s="714">
        <f>CalculationAfter!Q241</f>
        <v>0</v>
      </c>
    </row>
    <row r="51" spans="1:5" ht="14.25">
      <c r="A51" s="721" t="s">
        <v>972</v>
      </c>
      <c r="B51" s="715">
        <f>CalculationBefore!Q227</f>
        <v>-4.5340475482121221</v>
      </c>
      <c r="C51" s="715">
        <f>CalculationAfter!Q227</f>
        <v>-4.5340475482121221</v>
      </c>
      <c r="D51" s="714">
        <f>CalculationBefore!Q242</f>
        <v>0.41463557914691962</v>
      </c>
      <c r="E51" s="714">
        <f>CalculationAfter!Q242</f>
        <v>0.41463557914691962</v>
      </c>
    </row>
    <row r="52" spans="1:5" ht="14.25">
      <c r="A52" s="721" t="s">
        <v>973</v>
      </c>
      <c r="B52" s="715">
        <f>CalculationBefore!Q228</f>
        <v>-2.2124313131326572</v>
      </c>
      <c r="C52" s="715">
        <f>CalculationAfter!Q228</f>
        <v>-2.2124313131326572</v>
      </c>
      <c r="D52" s="714">
        <f>CalculationBefore!Q243</f>
        <v>0.20232534597156404</v>
      </c>
      <c r="E52" s="714">
        <f>CalculationAfter!Q243</f>
        <v>0.20232534597156404</v>
      </c>
    </row>
    <row r="53" spans="1:5" ht="14.25">
      <c r="A53" s="721" t="s">
        <v>974</v>
      </c>
      <c r="B53" s="715">
        <f>CalculationBefore!Q229</f>
        <v>-4.5340475482121221</v>
      </c>
      <c r="C53" s="715">
        <f>CalculationAfter!Q229</f>
        <v>-4.5340475482121221</v>
      </c>
      <c r="D53" s="714">
        <f>CalculationBefore!Q244</f>
        <v>0.41463557914691962</v>
      </c>
      <c r="E53" s="714">
        <f>CalculationAfter!Q244</f>
        <v>0.41463557914691962</v>
      </c>
    </row>
    <row r="54" spans="1:5" ht="14.25">
      <c r="A54" s="721" t="s">
        <v>975</v>
      </c>
      <c r="B54" s="715">
        <f>CalculationBefore!Q230</f>
        <v>0</v>
      </c>
      <c r="C54" s="715">
        <f>CalculationAfter!Q230</f>
        <v>0</v>
      </c>
      <c r="D54" s="714">
        <f>CalculationBefore!Q245</f>
        <v>0</v>
      </c>
      <c r="E54" s="714">
        <f>CalculationAfter!Q245</f>
        <v>0</v>
      </c>
    </row>
    <row r="55" spans="1:5" ht="14.25">
      <c r="A55" s="721" t="s">
        <v>792</v>
      </c>
      <c r="B55" s="715">
        <f>CalculationBefore!Q231</f>
        <v>-3.2956852283538969</v>
      </c>
      <c r="C55" s="715">
        <f>CalculationAfter!Q231</f>
        <v>-3.2956852283538969</v>
      </c>
      <c r="D55" s="714">
        <f>CalculationBefore!Q246</f>
        <v>0.30138818325434452</v>
      </c>
      <c r="E55" s="714">
        <f>CalculationAfter!Q246</f>
        <v>0.30138818325434452</v>
      </c>
    </row>
    <row r="56" spans="1:5" ht="14.25">
      <c r="A56" s="721" t="s">
        <v>976</v>
      </c>
      <c r="B56" s="715">
        <f>CalculationBefore!Q232</f>
        <v>0</v>
      </c>
      <c r="C56" s="715">
        <f>CalculationAfter!Q232</f>
        <v>0</v>
      </c>
      <c r="D56" s="714">
        <f>CalculationBefore!Q247</f>
        <v>0</v>
      </c>
      <c r="E56" s="714">
        <f>CalculationAfter!Q247</f>
        <v>0</v>
      </c>
    </row>
    <row r="57" spans="1:5" ht="14.25">
      <c r="A57" s="721" t="str">
        <f>DATA!$B$91</f>
        <v>wall 1</v>
      </c>
      <c r="B57" s="715">
        <f>CalculationBefore!Q233</f>
        <v>-0.65894058157370927</v>
      </c>
      <c r="C57" s="715">
        <f>CalculationAfter!Q233</f>
        <v>-0.65894058157370927</v>
      </c>
      <c r="D57" s="714">
        <f>CalculationBefore!Q248</f>
        <v>6.0259670142180116E-2</v>
      </c>
      <c r="E57" s="714">
        <f>CalculationAfter!Q248</f>
        <v>6.0259670142180116E-2</v>
      </c>
    </row>
    <row r="58" spans="1:5" ht="14.25">
      <c r="A58" s="721" t="str">
        <f>DATA!C91</f>
        <v>wall 2</v>
      </c>
      <c r="B58" s="715">
        <f>CalculationBefore!Q234</f>
        <v>0</v>
      </c>
      <c r="C58" s="715">
        <f>CalculationAfter!Q234</f>
        <v>0</v>
      </c>
      <c r="D58" s="714">
        <f>CalculationBefore!Q249</f>
        <v>0</v>
      </c>
      <c r="E58" s="714">
        <f>CalculationAfter!Q249</f>
        <v>0</v>
      </c>
    </row>
    <row r="59" spans="1:5" ht="14.25">
      <c r="A59" s="721" t="str">
        <f>DATA!D91</f>
        <v>wall 3</v>
      </c>
      <c r="B59" s="715">
        <f>CalculationBefore!Q235</f>
        <v>0</v>
      </c>
      <c r="C59" s="715">
        <f>CalculationAfter!Q235</f>
        <v>0</v>
      </c>
      <c r="D59" s="714">
        <f>CalculationBefore!Q250</f>
        <v>0</v>
      </c>
      <c r="E59" s="714">
        <f>CalculationAfter!Q250</f>
        <v>0</v>
      </c>
    </row>
    <row r="60" spans="1:5" ht="14.25">
      <c r="A60" s="721" t="str">
        <f>DATA!E91</f>
        <v>wall 4</v>
      </c>
      <c r="B60" s="715">
        <f>CalculationBefore!Q236</f>
        <v>0</v>
      </c>
      <c r="C60" s="715">
        <f>CalculationAfter!Q236</f>
        <v>0</v>
      </c>
      <c r="D60" s="714">
        <f>CalculationBefore!Q251</f>
        <v>0</v>
      </c>
      <c r="E60" s="714">
        <f>CalculationAfter!Q251</f>
        <v>0</v>
      </c>
    </row>
    <row r="61" spans="1:5" ht="14.25">
      <c r="A61" s="455" t="s">
        <v>961</v>
      </c>
      <c r="B61" s="715">
        <f>'BalanceTermico Inicial'!O18</f>
        <v>-3.625868964467049</v>
      </c>
      <c r="C61" s="715">
        <f>'BalanceTermico Final'!O18</f>
        <v>-3.625868964467049</v>
      </c>
      <c r="D61" s="714">
        <f>'BalanceTermico Inicial'!O24</f>
        <v>0</v>
      </c>
      <c r="E61" s="714">
        <f>'BalanceTermico Final'!O24</f>
        <v>0</v>
      </c>
    </row>
    <row r="62" spans="1:5" ht="14.25">
      <c r="A62" s="455" t="s">
        <v>977</v>
      </c>
      <c r="B62" s="715">
        <f>'BalanceTermico Inicial'!O19</f>
        <v>-21.405770254304173</v>
      </c>
      <c r="C62" s="715">
        <f>'BalanceTermico Final'!O19</f>
        <v>-21.405770254304173</v>
      </c>
      <c r="D62" s="728">
        <f>'BalanceTermico Inicial'!O25</f>
        <v>0.32625720000000014</v>
      </c>
      <c r="E62" s="728">
        <f>'BalanceTermico Final'!O25</f>
        <v>0.32625720000000014</v>
      </c>
    </row>
    <row r="63" spans="1:5" ht="14.25">
      <c r="A63" s="454" t="s">
        <v>912</v>
      </c>
      <c r="D63" s="714">
        <f>'BalanceTermico Inicial'!O20</f>
        <v>65.178841969813419</v>
      </c>
      <c r="E63" s="714">
        <f>'BalanceTermico Final'!O20</f>
        <v>65.178841969813419</v>
      </c>
    </row>
    <row r="64" spans="1:5" ht="15" thickBot="1">
      <c r="A64" s="454" t="s">
        <v>213</v>
      </c>
      <c r="D64" s="714">
        <f>'BalanceTermico Inicial'!O21</f>
        <v>7.3440000000000012</v>
      </c>
      <c r="E64" s="714">
        <f>'BalanceTermico Final'!O21</f>
        <v>7.3440000000000012</v>
      </c>
    </row>
    <row r="65" spans="1:3" ht="15.75" thickBot="1">
      <c r="A65" s="458" t="s">
        <v>33</v>
      </c>
      <c r="B65" s="716">
        <f>'BalanceTermico Inicial'!O26</f>
        <v>31.265784662439877</v>
      </c>
      <c r="C65" s="716">
        <f>'BalanceTermico Final'!O26</f>
        <v>31.265784662439877</v>
      </c>
    </row>
  </sheetData>
  <sheetProtection password="D60A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2"/>
  <sheetViews>
    <sheetView topLeftCell="A67" workbookViewId="0">
      <selection activeCell="A81" sqref="A81"/>
    </sheetView>
  </sheetViews>
  <sheetFormatPr baseColWidth="10" defaultRowHeight="12.75"/>
  <cols>
    <col min="1" max="1" width="48.42578125" bestFit="1" customWidth="1"/>
    <col min="2" max="2" width="42.140625" bestFit="1" customWidth="1"/>
    <col min="3" max="3" width="46.85546875" bestFit="1" customWidth="1"/>
  </cols>
  <sheetData>
    <row r="1" spans="1:8">
      <c r="A1" t="s">
        <v>986</v>
      </c>
    </row>
    <row r="2" spans="1:8">
      <c r="A2" t="s">
        <v>987</v>
      </c>
    </row>
    <row r="3" spans="1:8">
      <c r="A3" t="s">
        <v>988</v>
      </c>
    </row>
    <row r="5" spans="1:8">
      <c r="E5" s="731" t="s">
        <v>1015</v>
      </c>
    </row>
    <row r="6" spans="1:8" ht="15.75">
      <c r="A6" s="731" t="s">
        <v>990</v>
      </c>
      <c r="B6" s="731" t="s">
        <v>821</v>
      </c>
      <c r="C6" s="731" t="s">
        <v>989</v>
      </c>
      <c r="D6" s="733"/>
      <c r="E6" s="731" t="str">
        <f>INDEX(A6:C6,DATA!$G$4)</f>
        <v>CÁLCULOS ENERGÉTICOS SEGÚN EN 13790</v>
      </c>
      <c r="F6" s="733"/>
      <c r="G6" s="733"/>
      <c r="H6" s="733"/>
    </row>
    <row r="7" spans="1:8" ht="15.75">
      <c r="A7" s="731" t="s">
        <v>991</v>
      </c>
      <c r="B7" s="731" t="s">
        <v>819</v>
      </c>
      <c r="C7" s="731" t="s">
        <v>993</v>
      </c>
      <c r="D7" s="733"/>
      <c r="E7" s="731" t="str">
        <f>INDEX(A7:C7,DATA!$G$4)</f>
        <v>Método mensual</v>
      </c>
      <c r="F7" s="733"/>
      <c r="G7" s="733"/>
      <c r="H7" s="733"/>
    </row>
    <row r="8" spans="1:8" ht="15.75">
      <c r="A8" s="731" t="s">
        <v>992</v>
      </c>
      <c r="B8" s="731" t="s">
        <v>820</v>
      </c>
      <c r="C8" s="731" t="s">
        <v>994</v>
      </c>
      <c r="D8" s="733"/>
      <c r="E8" s="731" t="str">
        <f>INDEX(A8:C8,DATA!$G$4)</f>
        <v>Entrada de datos simplificada adaptada a la rehabilitación</v>
      </c>
      <c r="F8" s="733"/>
      <c r="G8" s="733"/>
      <c r="H8" s="733"/>
    </row>
    <row r="9" spans="1:8">
      <c r="A9" s="731" t="s">
        <v>996</v>
      </c>
      <c r="B9" s="734" t="s">
        <v>763</v>
      </c>
      <c r="C9" s="731" t="s">
        <v>1000</v>
      </c>
      <c r="E9" s="731" t="str">
        <f>INDEX(A9:C9,DATA!$G$4)</f>
        <v>Nombre o referencia edifico</v>
      </c>
    </row>
    <row r="10" spans="1:8">
      <c r="A10" s="732" t="s">
        <v>101</v>
      </c>
      <c r="B10" s="734" t="s">
        <v>764</v>
      </c>
      <c r="C10" s="731" t="s">
        <v>764</v>
      </c>
      <c r="E10" s="731" t="str">
        <f>INDEX(A10:C10,DATA!$G$4)</f>
        <v>Emplazamiento</v>
      </c>
    </row>
    <row r="11" spans="1:8">
      <c r="A11" s="732" t="s">
        <v>997</v>
      </c>
      <c r="B11" s="734" t="s">
        <v>765</v>
      </c>
      <c r="C11" s="731" t="s">
        <v>1001</v>
      </c>
      <c r="E11" s="731" t="str">
        <f>INDEX(A11:C11,DATA!$G$4)</f>
        <v>Superficie interior (m2)</v>
      </c>
    </row>
    <row r="12" spans="1:8">
      <c r="A12" s="732" t="s">
        <v>998</v>
      </c>
      <c r="B12" s="734" t="s">
        <v>766</v>
      </c>
      <c r="C12" s="731" t="s">
        <v>1002</v>
      </c>
      <c r="E12" s="731" t="str">
        <f>INDEX(A12:C12,DATA!$G$4)</f>
        <v>Volumen Interior (m3)</v>
      </c>
    </row>
    <row r="13" spans="1:8">
      <c r="A13" s="732" t="s">
        <v>1009</v>
      </c>
      <c r="B13" s="734" t="s">
        <v>767</v>
      </c>
      <c r="C13" s="731" t="s">
        <v>1003</v>
      </c>
      <c r="E13" s="731" t="str">
        <f>INDEX(A13:C13,DATA!$G$4)</f>
        <v>Tasa Infiltración y ventilación (n)</v>
      </c>
    </row>
    <row r="14" spans="1:8">
      <c r="A14" s="732" t="s">
        <v>999</v>
      </c>
      <c r="B14" s="734" t="s">
        <v>768</v>
      </c>
      <c r="C14" s="731" t="s">
        <v>1020</v>
      </c>
      <c r="E14" s="731" t="str">
        <f>INDEX(A14:C14,DATA!$G$4)</f>
        <v>Eficiencia recuperador de calor (0 a 1)</v>
      </c>
    </row>
    <row r="15" spans="1:8">
      <c r="A15" s="732" t="s">
        <v>271</v>
      </c>
      <c r="B15" s="735" t="s">
        <v>831</v>
      </c>
      <c r="C15" s="731" t="s">
        <v>1004</v>
      </c>
      <c r="E15" s="731" t="str">
        <f>INDEX(A15:C15,DATA!$G$4)</f>
        <v>Ventilación nocturna en verano (n)</v>
      </c>
    </row>
    <row r="16" spans="1:8">
      <c r="A16" s="732" t="s">
        <v>1010</v>
      </c>
      <c r="B16" s="734" t="s">
        <v>769</v>
      </c>
      <c r="C16" s="731" t="s">
        <v>995</v>
      </c>
      <c r="E16" s="731" t="str">
        <f>INDEX(A16:C16,DATA!$G$4)</f>
        <v>Ganancias interiores (Wh/m2)</v>
      </c>
    </row>
    <row r="17" spans="1:5">
      <c r="A17" s="732" t="s">
        <v>1018</v>
      </c>
      <c r="B17" s="735" t="s">
        <v>786</v>
      </c>
      <c r="C17" s="731" t="s">
        <v>1016</v>
      </c>
      <c r="E17" s="731" t="str">
        <f>INDEX(A17:C17,DATA!$G$4)</f>
        <v>Demanda calefacción kWh/m2/año</v>
      </c>
    </row>
    <row r="18" spans="1:5">
      <c r="A18" s="732" t="s">
        <v>1019</v>
      </c>
      <c r="B18" s="735" t="s">
        <v>787</v>
      </c>
      <c r="C18" s="731" t="s">
        <v>1017</v>
      </c>
      <c r="E18" s="731" t="str">
        <f>INDEX(A18:C18,DATA!$G$4)</f>
        <v>Demanda refrigeración kWh/m2/año</v>
      </c>
    </row>
    <row r="19" spans="1:5">
      <c r="A19" s="732" t="s">
        <v>1011</v>
      </c>
      <c r="B19" s="735" t="s">
        <v>788</v>
      </c>
      <c r="C19" s="731" t="s">
        <v>1013</v>
      </c>
      <c r="E19" s="731" t="str">
        <f>INDEX(A19:C19,DATA!$G$4)</f>
        <v>Demanda de energía total kWh/m2/año</v>
      </c>
    </row>
    <row r="20" spans="1:5">
      <c r="A20" s="732" t="s">
        <v>1007</v>
      </c>
      <c r="B20" s="735" t="s">
        <v>789</v>
      </c>
      <c r="C20" s="731" t="s">
        <v>1005</v>
      </c>
      <c r="E20" s="731" t="str">
        <f>INDEX(A20:C20,DATA!$G$4)</f>
        <v>Ahorro de calefacción %</v>
      </c>
    </row>
    <row r="21" spans="1:5">
      <c r="A21" s="732" t="s">
        <v>1008</v>
      </c>
      <c r="B21" s="735" t="s">
        <v>790</v>
      </c>
      <c r="C21" s="731" t="s">
        <v>1006</v>
      </c>
      <c r="E21" s="731" t="str">
        <f>INDEX(A21:C21,DATA!$G$4)</f>
        <v>Ahorro de refrigeración %</v>
      </c>
    </row>
    <row r="22" spans="1:5">
      <c r="A22" s="732" t="s">
        <v>1012</v>
      </c>
      <c r="B22" s="735" t="s">
        <v>791</v>
      </c>
      <c r="C22" s="731" t="s">
        <v>1014</v>
      </c>
      <c r="E22" s="731" t="str">
        <f>INDEX(A22:C22,DATA!$G$4)</f>
        <v>Ahorro de energía total %</v>
      </c>
    </row>
    <row r="23" spans="1:5">
      <c r="A23" s="732" t="s">
        <v>1023</v>
      </c>
      <c r="B23" t="s">
        <v>772</v>
      </c>
      <c r="C23" s="731" t="s">
        <v>1024</v>
      </c>
      <c r="E23" s="731" t="str">
        <f>INDEX(A23:C23,DATA!$G$4)</f>
        <v>Caso Inicial</v>
      </c>
    </row>
    <row r="24" spans="1:5">
      <c r="A24" s="732" t="s">
        <v>1022</v>
      </c>
      <c r="B24" t="s">
        <v>777</v>
      </c>
      <c r="C24" s="731" t="s">
        <v>1021</v>
      </c>
      <c r="E24" s="731" t="str">
        <f>INDEX(A24:C24,DATA!$G$4)</f>
        <v>Caso Final</v>
      </c>
    </row>
    <row r="25" spans="1:5">
      <c r="A25" s="732" t="s">
        <v>1025</v>
      </c>
      <c r="B25" t="s">
        <v>782</v>
      </c>
      <c r="C25" s="731" t="s">
        <v>1044</v>
      </c>
      <c r="E25" s="731" t="str">
        <f>INDEX(A25:C25,DATA!$G$4)</f>
        <v>Paredes Exteriores</v>
      </c>
    </row>
    <row r="26" spans="1:5">
      <c r="A26" s="732" t="s">
        <v>1032</v>
      </c>
      <c r="B26" t="s">
        <v>812</v>
      </c>
      <c r="C26" s="731" t="s">
        <v>1026</v>
      </c>
      <c r="E26" s="731" t="str">
        <f>INDEX(A26:C26,DATA!$G$4)</f>
        <v>Sur</v>
      </c>
    </row>
    <row r="27" spans="1:5">
      <c r="A27" s="732" t="s">
        <v>1047</v>
      </c>
      <c r="B27" s="731" t="s">
        <v>1030</v>
      </c>
      <c r="C27" s="731" t="s">
        <v>1031</v>
      </c>
      <c r="E27" s="731" t="str">
        <f>INDEX(A27:C27,DATA!$G$4)</f>
        <v>Sur Este</v>
      </c>
    </row>
    <row r="28" spans="1:5">
      <c r="A28" s="732" t="s">
        <v>1033</v>
      </c>
      <c r="B28" t="s">
        <v>783</v>
      </c>
      <c r="C28" s="731" t="s">
        <v>1027</v>
      </c>
      <c r="E28" s="731" t="str">
        <f>INDEX(A28:C28,DATA!$G$4)</f>
        <v>Este</v>
      </c>
    </row>
    <row r="29" spans="1:5">
      <c r="A29" s="732" t="s">
        <v>1035</v>
      </c>
      <c r="B29" t="s">
        <v>784</v>
      </c>
      <c r="C29" s="731" t="s">
        <v>1036</v>
      </c>
      <c r="E29" s="731" t="str">
        <f>INDEX(A29:C29,DATA!$G$4)</f>
        <v>Norte/NEste / NOeste</v>
      </c>
    </row>
    <row r="30" spans="1:5">
      <c r="A30" s="732" t="s">
        <v>1034</v>
      </c>
      <c r="B30" t="s">
        <v>785</v>
      </c>
      <c r="C30" s="731" t="s">
        <v>1028</v>
      </c>
      <c r="E30" s="731" t="str">
        <f>INDEX(A30:C30,DATA!$G$4)</f>
        <v>Oeste</v>
      </c>
    </row>
    <row r="31" spans="1:5">
      <c r="A31" s="732" t="s">
        <v>1048</v>
      </c>
      <c r="B31" t="s">
        <v>813</v>
      </c>
      <c r="C31" s="731" t="s">
        <v>1029</v>
      </c>
      <c r="E31" s="731" t="str">
        <f>INDEX(A31:C31,DATA!$G$4)</f>
        <v>Sur Oeste</v>
      </c>
    </row>
    <row r="32" spans="1:5">
      <c r="A32" s="732" t="s">
        <v>1049</v>
      </c>
      <c r="B32" t="s">
        <v>770</v>
      </c>
      <c r="C32" s="731" t="s">
        <v>1038</v>
      </c>
      <c r="E32" s="731" t="str">
        <f>INDEX(A32:C32,DATA!$G$4)</f>
        <v>Área total (m2)</v>
      </c>
    </row>
    <row r="33" spans="1:5">
      <c r="A33" s="732" t="s">
        <v>1037</v>
      </c>
      <c r="B33" t="s">
        <v>771</v>
      </c>
      <c r="C33" s="731" t="s">
        <v>1045</v>
      </c>
      <c r="E33" s="731" t="str">
        <f>INDEX(A33:C33,DATA!$G$4)</f>
        <v>Porcentaje de huecos (0 a 1)</v>
      </c>
    </row>
    <row r="34" spans="1:5">
      <c r="A34" s="732" t="s">
        <v>1039</v>
      </c>
      <c r="B34" t="s">
        <v>773</v>
      </c>
      <c r="C34" s="731" t="s">
        <v>1041</v>
      </c>
      <c r="E34" s="731" t="str">
        <f>INDEX(A34:C34,DATA!$G$4)</f>
        <v>Aislamiento parte opaca paredes</v>
      </c>
    </row>
    <row r="35" spans="1:5">
      <c r="A35" s="732" t="s">
        <v>1050</v>
      </c>
      <c r="B35" t="s">
        <v>774</v>
      </c>
      <c r="C35" s="731" t="s">
        <v>1042</v>
      </c>
      <c r="E35" s="731" t="str">
        <f>INDEX(A35:C35,DATA!$G$4)</f>
        <v>Huecos y carpintería</v>
      </c>
    </row>
    <row r="36" spans="1:5">
      <c r="A36" s="732" t="s">
        <v>272</v>
      </c>
      <c r="B36" t="s">
        <v>775</v>
      </c>
      <c r="C36" s="731" t="s">
        <v>1046</v>
      </c>
      <c r="E36" s="731" t="str">
        <f>INDEX(A36:C36,DATA!$G$4)</f>
        <v>Protección solar verano</v>
      </c>
    </row>
    <row r="37" spans="1:5">
      <c r="A37" s="732" t="s">
        <v>1040</v>
      </c>
      <c r="B37" t="s">
        <v>776</v>
      </c>
      <c r="C37" s="731" t="s">
        <v>1043</v>
      </c>
      <c r="E37" s="731" t="str">
        <f>INDEX(A37:C37,DATA!$G$4)</f>
        <v>Factor corrector puentes térmicos</v>
      </c>
    </row>
    <row r="38" spans="1:5">
      <c r="A38" s="732" t="s">
        <v>1053</v>
      </c>
      <c r="B38" t="s">
        <v>778</v>
      </c>
      <c r="C38" s="731" t="s">
        <v>1051</v>
      </c>
      <c r="E38" s="731" t="str">
        <f>INDEX(A38:C38,DATA!$G$4)</f>
        <v>1ª capa aislamiento</v>
      </c>
    </row>
    <row r="39" spans="1:5">
      <c r="A39" s="732" t="s">
        <v>1054</v>
      </c>
      <c r="B39" t="s">
        <v>779</v>
      </c>
      <c r="C39" s="731" t="s">
        <v>1052</v>
      </c>
      <c r="E39" s="731" t="str">
        <f>INDEX(A39:C39,DATA!$G$4)</f>
        <v>2ª capa aislamiento</v>
      </c>
    </row>
    <row r="40" spans="1:5">
      <c r="A40" s="732" t="s">
        <v>1056</v>
      </c>
      <c r="B40" t="s">
        <v>780</v>
      </c>
      <c r="C40" s="731" t="s">
        <v>1057</v>
      </c>
      <c r="E40" s="731" t="str">
        <f>INDEX(A40:C40,DATA!$G$4)</f>
        <v>Tipo de intervención (solo para costes)</v>
      </c>
    </row>
    <row r="41" spans="1:5">
      <c r="A41" s="732" t="s">
        <v>1050</v>
      </c>
      <c r="B41" t="s">
        <v>774</v>
      </c>
      <c r="C41" s="731" t="s">
        <v>1042</v>
      </c>
      <c r="E41" s="731" t="str">
        <f>INDEX(A41:C41,DATA!$G$4)</f>
        <v>Huecos y carpintería</v>
      </c>
    </row>
    <row r="42" spans="1:5">
      <c r="A42" s="732" t="s">
        <v>1055</v>
      </c>
      <c r="B42" t="s">
        <v>781</v>
      </c>
      <c r="C42" s="731" t="s">
        <v>1058</v>
      </c>
      <c r="E42" s="731" t="str">
        <f>INDEX(A42:C42,DATA!$G$4)</f>
        <v>Tipo de hueco (solo para costes)</v>
      </c>
    </row>
    <row r="43" spans="1:5">
      <c r="A43" s="732" t="s">
        <v>272</v>
      </c>
      <c r="B43" t="s">
        <v>775</v>
      </c>
      <c r="C43" s="731" t="s">
        <v>1046</v>
      </c>
      <c r="E43" s="731" t="str">
        <f>INDEX(A43:C43,DATA!$G$4)</f>
        <v>Protección solar verano</v>
      </c>
    </row>
    <row r="44" spans="1:5">
      <c r="A44" s="732" t="s">
        <v>1040</v>
      </c>
      <c r="B44" t="s">
        <v>776</v>
      </c>
      <c r="C44" s="731" t="s">
        <v>1043</v>
      </c>
      <c r="E44" s="731" t="str">
        <f>INDEX(A44:C44,DATA!$G$4)</f>
        <v>Factor corrector puentes térmicos</v>
      </c>
    </row>
    <row r="45" spans="1:5">
      <c r="A45" s="732" t="s">
        <v>1059</v>
      </c>
      <c r="B45" t="s">
        <v>797</v>
      </c>
      <c r="C45" s="731" t="s">
        <v>797</v>
      </c>
      <c r="E45" s="731" t="str">
        <f>INDEX(A45:C45,DATA!$G$4)</f>
        <v>Identificación</v>
      </c>
    </row>
    <row r="46" spans="1:5">
      <c r="A46" s="732" t="s">
        <v>215</v>
      </c>
      <c r="B46" t="s">
        <v>792</v>
      </c>
      <c r="C46" s="731" t="s">
        <v>1060</v>
      </c>
      <c r="E46" s="731" t="str">
        <f>INDEX(A46:C46,DATA!$G$4)</f>
        <v>Cubierta</v>
      </c>
    </row>
    <row r="47" spans="1:5">
      <c r="A47" s="732" t="s">
        <v>1063</v>
      </c>
      <c r="B47" t="s">
        <v>793</v>
      </c>
      <c r="C47" s="731" t="s">
        <v>1061</v>
      </c>
      <c r="E47" s="731" t="str">
        <f>INDEX(A47:C47,DATA!$G$4)</f>
        <v>Solera</v>
      </c>
    </row>
    <row r="48" spans="1:5">
      <c r="A48" s="732" t="s">
        <v>1064</v>
      </c>
      <c r="B48" t="s">
        <v>794</v>
      </c>
      <c r="C48" s="731" t="s">
        <v>1062</v>
      </c>
      <c r="E48" s="731" t="str">
        <f>INDEX(A48:C48,DATA!$G$4)</f>
        <v>Paredes sin radiación solar ( suelos, sin exposición solar)</v>
      </c>
    </row>
    <row r="49" spans="1:5">
      <c r="A49" s="732" t="s">
        <v>1065</v>
      </c>
      <c r="B49" t="s">
        <v>795</v>
      </c>
      <c r="C49" s="731" t="s">
        <v>1066</v>
      </c>
      <c r="E49" s="731" t="str">
        <f>INDEX(A49:C49,DATA!$G$4)</f>
        <v>Paredes no expuestas al exterior</v>
      </c>
    </row>
    <row r="50" spans="1:5">
      <c r="A50" s="732" t="s">
        <v>1074</v>
      </c>
      <c r="B50" t="s">
        <v>799</v>
      </c>
      <c r="C50" s="731" t="s">
        <v>1067</v>
      </c>
      <c r="E50" s="731" t="str">
        <f>INDEX(A50:C50,DATA!$G$4)</f>
        <v>Coste energía €/kWh</v>
      </c>
    </row>
    <row r="51" spans="1:5">
      <c r="A51" s="732" t="s">
        <v>1075</v>
      </c>
      <c r="B51" t="s">
        <v>800</v>
      </c>
      <c r="C51" s="731" t="s">
        <v>1068</v>
      </c>
      <c r="E51" s="731" t="str">
        <f>INDEX(A51:C51,DATA!$G$4)</f>
        <v>Zona Climática</v>
      </c>
    </row>
    <row r="52" spans="1:5">
      <c r="A52" s="732" t="s">
        <v>1073</v>
      </c>
      <c r="B52" t="s">
        <v>801</v>
      </c>
      <c r="C52" s="731" t="s">
        <v>1077</v>
      </c>
      <c r="E52" s="731" t="str">
        <f>INDEX(A52:C52,DATA!$G$4)</f>
        <v>Tipo de generador</v>
      </c>
    </row>
    <row r="53" spans="1:5">
      <c r="A53" s="732" t="s">
        <v>1071</v>
      </c>
      <c r="B53" t="s">
        <v>802</v>
      </c>
      <c r="C53" s="731" t="s">
        <v>1069</v>
      </c>
      <c r="E53" s="731" t="str">
        <f>INDEX(A53:C53,DATA!$G$4)</f>
        <v>Tipo de distribución</v>
      </c>
    </row>
    <row r="54" spans="1:5">
      <c r="A54" s="732" t="s">
        <v>1072</v>
      </c>
      <c r="B54" t="s">
        <v>825</v>
      </c>
      <c r="C54" s="731" t="s">
        <v>1078</v>
      </c>
      <c r="E54" s="731" t="str">
        <f>INDEX(A54:C54,DATA!$G$4)</f>
        <v>Eficiencia nominal</v>
      </c>
    </row>
    <row r="55" spans="1:5">
      <c r="A55" s="732" t="s">
        <v>1076</v>
      </c>
      <c r="B55" t="s">
        <v>803</v>
      </c>
      <c r="C55" s="731" t="s">
        <v>1070</v>
      </c>
      <c r="E55" s="731" t="str">
        <f>INDEX(A55:C55,DATA!$G$4)</f>
        <v>Tipo de combustible</v>
      </c>
    </row>
    <row r="56" spans="1:5">
      <c r="A56" s="732" t="s">
        <v>1080</v>
      </c>
      <c r="B56" t="s">
        <v>847</v>
      </c>
      <c r="C56" s="731" t="s">
        <v>1079</v>
      </c>
      <c r="E56" s="731" t="str">
        <f>INDEX(A56:C56,DATA!$G$4)</f>
        <v>Cobertura solar (0-100)</v>
      </c>
    </row>
    <row r="57" spans="1:5">
      <c r="A57" s="732" t="s">
        <v>1084</v>
      </c>
      <c r="B57" t="s">
        <v>798</v>
      </c>
      <c r="C57" s="731" t="s">
        <v>1087</v>
      </c>
      <c r="E57" s="731" t="str">
        <f>INDEX(A57:C57,DATA!$G$4)</f>
        <v>SISTEMAS TÉRMICOS EN LA SITUACIÓN INICIAL Y FINAL</v>
      </c>
    </row>
    <row r="58" spans="1:5">
      <c r="A58" s="732" t="s">
        <v>1085</v>
      </c>
      <c r="B58" t="s">
        <v>362</v>
      </c>
      <c r="C58" s="731" t="s">
        <v>1081</v>
      </c>
      <c r="E58" s="731" t="str">
        <f>INDEX(A58:C58,DATA!$G$4)</f>
        <v>CALEFACCIÓN</v>
      </c>
    </row>
    <row r="59" spans="1:5">
      <c r="A59" s="732" t="s">
        <v>1083</v>
      </c>
      <c r="B59" t="s">
        <v>804</v>
      </c>
      <c r="C59" s="731" t="s">
        <v>1082</v>
      </c>
      <c r="E59" s="731" t="str">
        <f>INDEX(A59:C59,DATA!$G$4)</f>
        <v>AGUA CALIENTE</v>
      </c>
    </row>
    <row r="60" spans="1:5">
      <c r="A60" s="732" t="s">
        <v>1086</v>
      </c>
      <c r="B60" t="s">
        <v>390</v>
      </c>
      <c r="C60" s="731" t="s">
        <v>1088</v>
      </c>
      <c r="E60" s="731" t="str">
        <f>INDEX(A60:C60,DATA!$G$4)</f>
        <v>REFRIGERACIÓN</v>
      </c>
    </row>
    <row r="61" spans="1:5">
      <c r="A61" s="732" t="s">
        <v>1091</v>
      </c>
      <c r="B61" t="s">
        <v>1090</v>
      </c>
      <c r="C61" t="s">
        <v>1089</v>
      </c>
      <c r="E61" t="str">
        <f>INDEX(A61:C61,DATA!$G$4)</f>
        <v>Refrigeración (si / no?)</v>
      </c>
    </row>
    <row r="62" spans="1:5">
      <c r="A62" s="732" t="s">
        <v>1095</v>
      </c>
      <c r="B62" t="s">
        <v>826</v>
      </c>
      <c r="C62" s="731" t="s">
        <v>1092</v>
      </c>
      <c r="E62" t="str">
        <f>INDEX(A62:C62,DATA!$G$4)</f>
        <v>ESTIMACIÓN SITUACIÓN ENERGÉTICA INICIAL</v>
      </c>
    </row>
    <row r="63" spans="1:5">
      <c r="A63" s="731" t="s">
        <v>1096</v>
      </c>
      <c r="B63" t="s">
        <v>827</v>
      </c>
      <c r="C63" t="s">
        <v>1093</v>
      </c>
      <c r="E63" t="str">
        <f>INDEX(A63:C63,DATA!$G$4)</f>
        <v>ESTIMACIÓN SITUACIÓN ENERGÉTICA FINAL</v>
      </c>
    </row>
    <row r="64" spans="1:5">
      <c r="A64" s="731" t="s">
        <v>1085</v>
      </c>
      <c r="B64" t="s">
        <v>362</v>
      </c>
      <c r="C64" s="731" t="s">
        <v>1081</v>
      </c>
      <c r="E64" t="str">
        <f>INDEX(A64:C64,DATA!$G$4)</f>
        <v>CALEFACCIÓN</v>
      </c>
    </row>
    <row r="65" spans="1:9">
      <c r="A65" s="731" t="s">
        <v>1086</v>
      </c>
      <c r="B65" t="s">
        <v>390</v>
      </c>
      <c r="C65" s="731" t="s">
        <v>1088</v>
      </c>
      <c r="E65" t="str">
        <f>INDEX(A65:C65,DATA!$G$4)</f>
        <v>REFRIGERACIÓN</v>
      </c>
    </row>
    <row r="66" spans="1:9">
      <c r="A66" s="731" t="s">
        <v>1083</v>
      </c>
      <c r="B66" t="s">
        <v>804</v>
      </c>
      <c r="C66" s="731" t="s">
        <v>1082</v>
      </c>
      <c r="E66" t="str">
        <f>INDEX(A66:C66,DATA!$G$4)</f>
        <v>AGUA CALIENTE</v>
      </c>
    </row>
    <row r="67" spans="1:9">
      <c r="A67" s="731" t="s">
        <v>1097</v>
      </c>
      <c r="B67" t="s">
        <v>809</v>
      </c>
      <c r="C67" s="731" t="s">
        <v>1094</v>
      </c>
      <c r="E67" t="str">
        <f>INDEX(A67:C67,DATA!$G$4)</f>
        <v>ILUMINACIÓN</v>
      </c>
    </row>
    <row r="68" spans="1:9">
      <c r="A68" s="731" t="s">
        <v>360</v>
      </c>
      <c r="B68" t="s">
        <v>360</v>
      </c>
      <c r="C68" s="731" t="s">
        <v>360</v>
      </c>
      <c r="E68" t="str">
        <f>INDEX(A68:C68,DATA!$G$4)</f>
        <v>TOTAL</v>
      </c>
    </row>
    <row r="69" spans="1:9">
      <c r="A69" s="731" t="s">
        <v>1104</v>
      </c>
      <c r="B69" t="s">
        <v>805</v>
      </c>
      <c r="C69" s="731" t="s">
        <v>1107</v>
      </c>
      <c r="E69" t="str">
        <f>INDEX(A69:C69,DATA!$G$4)</f>
        <v>Demanda energética (kWh/m2)</v>
      </c>
    </row>
    <row r="70" spans="1:9">
      <c r="A70" s="731" t="s">
        <v>1106</v>
      </c>
      <c r="B70" t="s">
        <v>806</v>
      </c>
      <c r="C70" s="731" t="s">
        <v>1101</v>
      </c>
      <c r="E70" t="str">
        <f>INDEX(A70:C70,DATA!$G$4)</f>
        <v>Energía Final (kWh/m2)</v>
      </c>
    </row>
    <row r="71" spans="1:9">
      <c r="A71" s="731" t="s">
        <v>1105</v>
      </c>
      <c r="B71" t="s">
        <v>807</v>
      </c>
      <c r="C71" s="731" t="s">
        <v>1102</v>
      </c>
      <c r="E71" t="str">
        <f>INDEX(A71:C71,DATA!$G$4)</f>
        <v>Energía Primaria (kWh/m2)</v>
      </c>
    </row>
    <row r="72" spans="1:9">
      <c r="A72" s="731" t="s">
        <v>1098</v>
      </c>
      <c r="B72" t="s">
        <v>808</v>
      </c>
      <c r="C72" s="731" t="s">
        <v>1103</v>
      </c>
      <c r="E72" t="str">
        <f>INDEX(A72:C72,DATA!$G$4)</f>
        <v>Emisiones CO2 (gr/m2)</v>
      </c>
    </row>
    <row r="73" spans="1:9">
      <c r="A73" s="731" t="s">
        <v>1099</v>
      </c>
      <c r="B73" s="731" t="s">
        <v>1100</v>
      </c>
      <c r="C73" s="731" t="s">
        <v>1108</v>
      </c>
      <c r="D73" s="731"/>
      <c r="E73" s="731" t="str">
        <f>INDEX(A73:C73,DATA!$G$4)</f>
        <v>Coste operación (€/m2)</v>
      </c>
      <c r="F73" s="731"/>
      <c r="G73" s="731"/>
      <c r="H73" s="731"/>
      <c r="I73" s="731"/>
    </row>
    <row r="74" spans="1:9">
      <c r="A74" s="731" t="s">
        <v>1121</v>
      </c>
      <c r="B74" s="731" t="s">
        <v>811</v>
      </c>
      <c r="C74" s="731" t="s">
        <v>1118</v>
      </c>
      <c r="D74" s="731"/>
      <c r="E74" s="731" t="str">
        <f>INDEX(A74:C74,DATA!$G$4)</f>
        <v>ESTIMACIÓN COSTES</v>
      </c>
      <c r="F74" s="731"/>
      <c r="G74" s="731"/>
      <c r="H74" s="731"/>
      <c r="I74" s="731"/>
    </row>
    <row r="75" spans="1:9">
      <c r="A75" s="731" t="s">
        <v>1114</v>
      </c>
      <c r="B75" s="731" t="s">
        <v>814</v>
      </c>
      <c r="C75" s="731" t="s">
        <v>1109</v>
      </c>
      <c r="E75" s="731" t="str">
        <f>INDEX(A75:C75,DATA!$G$4)</f>
        <v>Paredes opacas (€)</v>
      </c>
    </row>
    <row r="76" spans="1:9">
      <c r="A76" s="731" t="s">
        <v>1115</v>
      </c>
      <c r="B76" s="731" t="s">
        <v>815</v>
      </c>
      <c r="C76" s="731" t="s">
        <v>1110</v>
      </c>
      <c r="E76" s="731" t="str">
        <f>INDEX(A76:C76,DATA!$G$4)</f>
        <v>Huecos (€)</v>
      </c>
    </row>
    <row r="77" spans="1:9">
      <c r="A77" s="731" t="s">
        <v>480</v>
      </c>
      <c r="B77" s="731" t="s">
        <v>480</v>
      </c>
      <c r="C77" s="731" t="s">
        <v>480</v>
      </c>
      <c r="E77" s="731" t="str">
        <f>INDEX(A77:C77,DATA!$G$4)</f>
        <v>Subtotal (€)</v>
      </c>
    </row>
    <row r="78" spans="1:9">
      <c r="A78" s="731" t="s">
        <v>360</v>
      </c>
      <c r="B78" s="731" t="s">
        <v>360</v>
      </c>
      <c r="C78" s="731" t="s">
        <v>360</v>
      </c>
      <c r="E78" s="731" t="str">
        <f>INDEX(A78:C78,DATA!$G$4)</f>
        <v>TOTAL</v>
      </c>
    </row>
    <row r="79" spans="1:9">
      <c r="A79" s="731" t="s">
        <v>1116</v>
      </c>
      <c r="B79" s="731" t="s">
        <v>1111</v>
      </c>
      <c r="C79" s="731" t="s">
        <v>1119</v>
      </c>
      <c r="E79" s="731" t="str">
        <f>INDEX(A79:C79,DATA!$G$4)</f>
        <v>Costes relativos por m2 (superficie interior)</v>
      </c>
    </row>
    <row r="80" spans="1:9">
      <c r="A80" s="731" t="s">
        <v>1122</v>
      </c>
      <c r="B80" s="731" t="s">
        <v>816</v>
      </c>
      <c r="C80" s="731" t="s">
        <v>1120</v>
      </c>
      <c r="E80" s="731" t="str">
        <f>INDEX(A80:C80,DATA!$G$4)</f>
        <v>Tiempo de recuperación simple</v>
      </c>
    </row>
    <row r="81" spans="1:5">
      <c r="A81" s="731" t="s">
        <v>1123</v>
      </c>
      <c r="B81" s="731" t="s">
        <v>830</v>
      </c>
      <c r="C81" s="731" t="s">
        <v>1112</v>
      </c>
      <c r="E81" s="731" t="str">
        <f>INDEX(A81:C81,DATA!$G$4)</f>
        <v>Tiempo de financiación</v>
      </c>
    </row>
    <row r="82" spans="1:5">
      <c r="A82" s="731" t="s">
        <v>1117</v>
      </c>
      <c r="B82" s="731" t="s">
        <v>818</v>
      </c>
      <c r="C82" s="731" t="s">
        <v>1113</v>
      </c>
      <c r="E82" s="731" t="str">
        <f>INDEX(A82:C82,DATA!$G$4)</f>
        <v>Coste total mensual</v>
      </c>
    </row>
  </sheetData>
  <sheetProtection password="D60A" sheet="1" objects="1" scenario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opLeftCell="A74" workbookViewId="0">
      <selection activeCell="C97" sqref="C97"/>
    </sheetView>
  </sheetViews>
  <sheetFormatPr baseColWidth="10" defaultColWidth="11.42578125" defaultRowHeight="12.75"/>
  <cols>
    <col min="1" max="1" width="35.5703125" style="1" bestFit="1" customWidth="1"/>
    <col min="2" max="2" width="11.42578125" style="1" customWidth="1"/>
    <col min="3" max="16384" width="11.42578125" style="1"/>
  </cols>
  <sheetData>
    <row r="1" spans="1:8">
      <c r="A1" s="223" t="s">
        <v>279</v>
      </c>
    </row>
    <row r="2" spans="1:8">
      <c r="A2" s="224" t="str">
        <f>INDEX(F2:H2,DATA!$G$4)</f>
        <v>Muy baja (n=0,2)</v>
      </c>
      <c r="B2" s="225">
        <v>0.2</v>
      </c>
      <c r="F2" s="224" t="s">
        <v>1124</v>
      </c>
      <c r="G2" s="224" t="s">
        <v>848</v>
      </c>
      <c r="H2" s="224" t="s">
        <v>1165</v>
      </c>
    </row>
    <row r="3" spans="1:8">
      <c r="A3" s="224" t="str">
        <f>INDEX(F3:H3,DATA!$G$4)</f>
        <v>Baja (n=0,5)</v>
      </c>
      <c r="B3" s="225">
        <v>0.5</v>
      </c>
      <c r="F3" s="224" t="s">
        <v>1125</v>
      </c>
      <c r="G3" s="224" t="s">
        <v>849</v>
      </c>
      <c r="H3" s="224" t="s">
        <v>1128</v>
      </c>
    </row>
    <row r="4" spans="1:8">
      <c r="A4" s="224" t="str">
        <f>INDEX(F4:H4,DATA!$G$4)</f>
        <v>Usual (n=0,75)</v>
      </c>
      <c r="B4" s="225">
        <v>0.75</v>
      </c>
      <c r="F4" s="224" t="s">
        <v>274</v>
      </c>
      <c r="G4" s="224" t="s">
        <v>274</v>
      </c>
      <c r="H4" s="224" t="s">
        <v>1141</v>
      </c>
    </row>
    <row r="5" spans="1:8">
      <c r="A5" s="224" t="str">
        <f>INDEX(F5:H5,DATA!$G$4)</f>
        <v>Alta (n=1)</v>
      </c>
      <c r="B5" s="225">
        <v>1</v>
      </c>
      <c r="F5" s="224" t="s">
        <v>1126</v>
      </c>
      <c r="G5" s="224" t="s">
        <v>898</v>
      </c>
      <c r="H5" s="224" t="s">
        <v>1129</v>
      </c>
    </row>
    <row r="6" spans="1:8">
      <c r="A6" s="224" t="str">
        <f>INDEX(F6:H6,DATA!$G$4)</f>
        <v>Muy Alta (n=1,5)</v>
      </c>
      <c r="B6" s="225">
        <v>1.5</v>
      </c>
      <c r="F6" s="224" t="s">
        <v>1127</v>
      </c>
      <c r="G6" s="224" t="s">
        <v>899</v>
      </c>
      <c r="H6" s="224" t="s">
        <v>1134</v>
      </c>
    </row>
    <row r="8" spans="1:8">
      <c r="A8" s="223" t="s">
        <v>271</v>
      </c>
    </row>
    <row r="9" spans="1:8">
      <c r="A9" s="224" t="str">
        <f>INDEX(F9:H9,DATA!$G$4)</f>
        <v>Sin (n=0)</v>
      </c>
      <c r="B9" s="225">
        <v>0</v>
      </c>
      <c r="F9" s="224" t="s">
        <v>1130</v>
      </c>
      <c r="G9" s="224" t="s">
        <v>850</v>
      </c>
      <c r="H9" s="224" t="s">
        <v>1132</v>
      </c>
    </row>
    <row r="10" spans="1:8">
      <c r="A10" s="224" t="str">
        <f>INDEX(F10:H10,DATA!$G$4)</f>
        <v>Baja (n=1)</v>
      </c>
      <c r="B10" s="225">
        <v>1</v>
      </c>
      <c r="F10" s="224" t="s">
        <v>1139</v>
      </c>
      <c r="G10" s="224" t="s">
        <v>851</v>
      </c>
      <c r="H10" s="224" t="s">
        <v>1133</v>
      </c>
    </row>
    <row r="11" spans="1:8">
      <c r="A11" s="224" t="str">
        <f>INDEX(F11:H11,DATA!$G$4)</f>
        <v>Usual (n=3)</v>
      </c>
      <c r="B11" s="225">
        <v>3</v>
      </c>
      <c r="F11" s="224" t="s">
        <v>280</v>
      </c>
      <c r="G11" s="224" t="s">
        <v>280</v>
      </c>
      <c r="H11" s="224" t="s">
        <v>1142</v>
      </c>
    </row>
    <row r="12" spans="1:8">
      <c r="A12" s="224" t="str">
        <f>INDEX(F12:H12,DATA!$G$4)</f>
        <v>Muy alta (n=5)</v>
      </c>
      <c r="B12" s="225">
        <v>5</v>
      </c>
      <c r="F12" s="224" t="s">
        <v>1131</v>
      </c>
      <c r="G12" s="224" t="s">
        <v>900</v>
      </c>
      <c r="H12" s="224" t="s">
        <v>1143</v>
      </c>
    </row>
    <row r="14" spans="1:8">
      <c r="A14" s="223" t="s">
        <v>281</v>
      </c>
    </row>
    <row r="15" spans="1:8">
      <c r="A15" s="224" t="str">
        <f>INDEX(F15:H15,DATA!$G$4)</f>
        <v>Residencial: Ganancias bajas (2W/m2)</v>
      </c>
      <c r="B15" s="225">
        <v>2</v>
      </c>
      <c r="F15" s="224" t="s">
        <v>1135</v>
      </c>
      <c r="G15" s="224" t="s">
        <v>852</v>
      </c>
      <c r="H15" s="224" t="s">
        <v>1144</v>
      </c>
    </row>
    <row r="16" spans="1:8">
      <c r="A16" s="224" t="str">
        <f>INDEX(F16:H16,DATA!$G$4)</f>
        <v>Residencial: ganancias Medias (3W/m2)</v>
      </c>
      <c r="B16" s="225">
        <v>3</v>
      </c>
      <c r="F16" s="224" t="s">
        <v>1140</v>
      </c>
      <c r="G16" s="224" t="s">
        <v>853</v>
      </c>
      <c r="H16" s="224" t="s">
        <v>1145</v>
      </c>
    </row>
    <row r="17" spans="1:8">
      <c r="A17" s="224" t="str">
        <f>INDEX(F17:H17,DATA!$G$4)</f>
        <v>Residencial: Ganancias elevadas (4W/m2)</v>
      </c>
      <c r="B17" s="225">
        <v>4</v>
      </c>
      <c r="F17" s="224" t="s">
        <v>1136</v>
      </c>
      <c r="G17" s="224" t="s">
        <v>901</v>
      </c>
      <c r="H17" s="224" t="s">
        <v>1146</v>
      </c>
    </row>
    <row r="18" spans="1:8">
      <c r="A18" s="224" t="str">
        <f>INDEX(F18:H18,DATA!$G$4)</f>
        <v>Otros casos (5W/m2)</v>
      </c>
      <c r="B18" s="225">
        <v>5</v>
      </c>
      <c r="F18" s="224" t="s">
        <v>1137</v>
      </c>
      <c r="G18" s="224" t="s">
        <v>854</v>
      </c>
      <c r="H18" s="224" t="s">
        <v>1138</v>
      </c>
    </row>
    <row r="20" spans="1:8">
      <c r="A20" s="223" t="s">
        <v>275</v>
      </c>
    </row>
    <row r="21" spans="1:8">
      <c r="A21" s="224" t="str">
        <f>INDEX(F21:H21,DATA!$G$4)</f>
        <v>Muy baja (100 kg/m2)</v>
      </c>
      <c r="B21" s="225">
        <v>100</v>
      </c>
      <c r="F21" s="226" t="s">
        <v>1147</v>
      </c>
      <c r="G21" s="226" t="s">
        <v>855</v>
      </c>
      <c r="H21" s="226" t="s">
        <v>1151</v>
      </c>
    </row>
    <row r="22" spans="1:8">
      <c r="A22" s="224" t="str">
        <f>INDEX(F22:H22,DATA!$G$4)</f>
        <v>Baja (200 kg/m2)</v>
      </c>
      <c r="B22" s="225">
        <v>200</v>
      </c>
      <c r="F22" s="226" t="s">
        <v>1148</v>
      </c>
      <c r="G22" s="226" t="s">
        <v>856</v>
      </c>
      <c r="H22" s="226" t="s">
        <v>1152</v>
      </c>
    </row>
    <row r="23" spans="1:8">
      <c r="A23" s="224" t="str">
        <f>INDEX(F23:H23,DATA!$G$4)</f>
        <v>Media (300 kg/m2)</v>
      </c>
      <c r="B23" s="225">
        <v>300</v>
      </c>
      <c r="F23" s="226" t="s">
        <v>1149</v>
      </c>
      <c r="G23" s="226" t="s">
        <v>857</v>
      </c>
      <c r="H23" s="226" t="s">
        <v>1153</v>
      </c>
    </row>
    <row r="24" spans="1:8">
      <c r="A24" s="224" t="str">
        <f>INDEX(F24:H24,DATA!$G$4)</f>
        <v>Alta (400 kg/m2)</v>
      </c>
      <c r="B24" s="225">
        <v>400</v>
      </c>
      <c r="F24" s="226" t="s">
        <v>1150</v>
      </c>
      <c r="G24" s="226" t="s">
        <v>902</v>
      </c>
      <c r="H24" s="226" t="s">
        <v>1154</v>
      </c>
    </row>
    <row r="26" spans="1:8">
      <c r="A26" s="223" t="s">
        <v>276</v>
      </c>
    </row>
    <row r="27" spans="1:8">
      <c r="A27" s="321" t="s">
        <v>211</v>
      </c>
      <c r="B27" s="225">
        <v>1</v>
      </c>
    </row>
    <row r="28" spans="1:8">
      <c r="A28" s="224" t="str">
        <f>INDEX(F28:H28,DATA!$G$4)</f>
        <v>Sin impacto (f=1)</v>
      </c>
      <c r="B28" s="225">
        <v>1</v>
      </c>
      <c r="F28" s="226" t="s">
        <v>1167</v>
      </c>
      <c r="G28" s="226" t="s">
        <v>859</v>
      </c>
      <c r="H28" s="226" t="s">
        <v>1160</v>
      </c>
    </row>
    <row r="29" spans="1:8">
      <c r="A29" s="224" t="str">
        <f>INDEX(F29:H29,DATA!$G$4)</f>
        <v>Muy bajo (f=1,05)</v>
      </c>
      <c r="B29" s="225">
        <v>1.05</v>
      </c>
      <c r="F29" s="226" t="s">
        <v>1155</v>
      </c>
      <c r="G29" s="226" t="s">
        <v>860</v>
      </c>
      <c r="H29" s="226" t="s">
        <v>1161</v>
      </c>
    </row>
    <row r="30" spans="1:8">
      <c r="A30" s="224" t="str">
        <f>INDEX(F30:H30,DATA!$G$4)</f>
        <v>Bajo (f=1,10)</v>
      </c>
      <c r="B30" s="225">
        <v>1.1000000000000001</v>
      </c>
      <c r="F30" s="226" t="s">
        <v>1156</v>
      </c>
      <c r="G30" s="226" t="s">
        <v>861</v>
      </c>
      <c r="H30" s="226" t="s">
        <v>1162</v>
      </c>
    </row>
    <row r="31" spans="1:8">
      <c r="A31" s="224" t="str">
        <f>INDEX(F31:H31,DATA!$G$4)</f>
        <v>Medio (f=1,3)</v>
      </c>
      <c r="B31" s="225">
        <v>1.3</v>
      </c>
      <c r="F31" s="226" t="s">
        <v>1157</v>
      </c>
      <c r="G31" s="226" t="s">
        <v>862</v>
      </c>
      <c r="H31" s="226" t="s">
        <v>1163</v>
      </c>
    </row>
    <row r="32" spans="1:8">
      <c r="A32" s="224" t="str">
        <f>INDEX(F32:H32,DATA!$G$4)</f>
        <v>Alto (f=1,5)</v>
      </c>
      <c r="B32" s="225">
        <v>1.5</v>
      </c>
      <c r="F32" s="226" t="s">
        <v>1158</v>
      </c>
      <c r="G32" s="226" t="s">
        <v>903</v>
      </c>
      <c r="H32" s="226" t="s">
        <v>1164</v>
      </c>
    </row>
    <row r="33" spans="1:8">
      <c r="A33" s="224" t="str">
        <f>INDEX(F33:H33,DATA!$G$4)</f>
        <v>Muy alto (f=1,7)</v>
      </c>
      <c r="B33" s="225">
        <v>1.7</v>
      </c>
      <c r="F33" s="226" t="s">
        <v>1159</v>
      </c>
      <c r="G33" s="226" t="s">
        <v>858</v>
      </c>
      <c r="H33" s="226" t="s">
        <v>1166</v>
      </c>
    </row>
    <row r="35" spans="1:8">
      <c r="A35" s="223" t="s">
        <v>270</v>
      </c>
    </row>
    <row r="36" spans="1:8">
      <c r="A36" s="224" t="str">
        <f>INDEX(F36:H36,DATA!$G$4)</f>
        <v>Similar a exterior (b=1)</v>
      </c>
      <c r="B36" s="225">
        <v>1</v>
      </c>
      <c r="F36" s="736" t="s">
        <v>1168</v>
      </c>
      <c r="G36" s="736" t="s">
        <v>863</v>
      </c>
      <c r="H36" s="736" t="s">
        <v>1240</v>
      </c>
    </row>
    <row r="37" spans="1:8">
      <c r="A37" s="224" t="str">
        <f>INDEX(F37:H37,DATA!$G$4)</f>
        <v>Poco expuesto (ej.: Parking) (b=0,8)</v>
      </c>
      <c r="B37" s="225">
        <v>0.8</v>
      </c>
      <c r="F37" s="736" t="s">
        <v>1169</v>
      </c>
      <c r="G37" s="736" t="s">
        <v>864</v>
      </c>
      <c r="H37" s="736" t="s">
        <v>1171</v>
      </c>
    </row>
    <row r="38" spans="1:8">
      <c r="A38" s="224" t="str">
        <f>INDEX(F38:H38,DATA!$G$4)</f>
        <v>Exposición media (ej.: escaleras) (b=0,5)</v>
      </c>
      <c r="B38" s="225">
        <v>0.5</v>
      </c>
      <c r="F38" s="736" t="s">
        <v>1238</v>
      </c>
      <c r="G38" s="736" t="s">
        <v>865</v>
      </c>
      <c r="H38" s="736" t="s">
        <v>1172</v>
      </c>
    </row>
    <row r="39" spans="1:8">
      <c r="A39" s="224" t="str">
        <f>INDEX(F39:H39,DATA!$G$4)</f>
        <v>Exposición baja (ej.: otros espacios habitables) (b=0,20)</v>
      </c>
      <c r="B39" s="225">
        <v>0.2</v>
      </c>
      <c r="F39" s="736" t="s">
        <v>1239</v>
      </c>
      <c r="G39" s="736" t="s">
        <v>904</v>
      </c>
      <c r="H39" s="736" t="s">
        <v>1241</v>
      </c>
    </row>
    <row r="40" spans="1:8">
      <c r="A40" s="224" t="str">
        <f>INDEX(F40:H40,DATA!$G$4)</f>
        <v>No expuesto (b=0)</v>
      </c>
      <c r="B40" s="225">
        <v>0</v>
      </c>
      <c r="F40" s="736" t="s">
        <v>1170</v>
      </c>
      <c r="G40" s="736" t="s">
        <v>905</v>
      </c>
      <c r="H40" s="736" t="s">
        <v>1173</v>
      </c>
    </row>
    <row r="41" spans="1:8">
      <c r="A41" s="321" t="s">
        <v>211</v>
      </c>
      <c r="B41" s="225">
        <v>1</v>
      </c>
    </row>
    <row r="43" spans="1:8">
      <c r="A43" s="1" t="s">
        <v>277</v>
      </c>
      <c r="B43" s="1" t="s">
        <v>245</v>
      </c>
    </row>
    <row r="44" spans="1:8">
      <c r="A44" s="272" t="s">
        <v>211</v>
      </c>
      <c r="B44" s="273">
        <v>0</v>
      </c>
    </row>
    <row r="45" spans="1:8">
      <c r="A45" s="224" t="str">
        <f>INDEX(F45:H45,DATA!$G$4)</f>
        <v>Sin aislamiento  (Rais=0)</v>
      </c>
      <c r="B45" s="270">
        <v>2</v>
      </c>
      <c r="D45" s="526">
        <v>0.5</v>
      </c>
      <c r="E45" s="526">
        <f>1/D45</f>
        <v>2</v>
      </c>
      <c r="F45" s="224" t="s">
        <v>1174</v>
      </c>
      <c r="G45" s="224" t="s">
        <v>1187</v>
      </c>
      <c r="H45" s="224" t="s">
        <v>1195</v>
      </c>
    </row>
    <row r="46" spans="1:8">
      <c r="A46" s="224" t="str">
        <f>INDEX(F46:H46,DATA!$G$4)</f>
        <v>Muy bajo  (Rais=0,7)</v>
      </c>
      <c r="B46" s="270">
        <v>0.83333333333333337</v>
      </c>
      <c r="D46" s="526">
        <f>D45+0.7</f>
        <v>1.2</v>
      </c>
      <c r="E46" s="526">
        <f t="shared" ref="E46:E52" si="0">1/D46</f>
        <v>0.83333333333333337</v>
      </c>
      <c r="F46" s="224" t="s">
        <v>1175</v>
      </c>
      <c r="G46" s="224" t="s">
        <v>1180</v>
      </c>
      <c r="H46" s="224" t="s">
        <v>1188</v>
      </c>
    </row>
    <row r="47" spans="1:8">
      <c r="A47" s="224" t="str">
        <f>INDEX(F47:H47,DATA!$G$4)</f>
        <v>Bajo  (Rais=1,5)</v>
      </c>
      <c r="B47" s="270">
        <v>0.5</v>
      </c>
      <c r="D47" s="526">
        <f>D45+1.5</f>
        <v>2</v>
      </c>
      <c r="E47" s="526">
        <f t="shared" si="0"/>
        <v>0.5</v>
      </c>
      <c r="F47" s="224" t="s">
        <v>1176</v>
      </c>
      <c r="G47" s="224" t="s">
        <v>1181</v>
      </c>
      <c r="H47" s="224" t="s">
        <v>1189</v>
      </c>
    </row>
    <row r="48" spans="1:8">
      <c r="A48" s="224" t="str">
        <f>INDEX(F48:H48,DATA!$G$4)</f>
        <v>Regular (Rais=2,5)</v>
      </c>
      <c r="B48" s="270">
        <v>0.33333333333333331</v>
      </c>
      <c r="D48" s="526">
        <f>+D45+2.5</f>
        <v>3</v>
      </c>
      <c r="E48" s="526">
        <f t="shared" si="0"/>
        <v>0.33333333333333331</v>
      </c>
      <c r="F48" s="224" t="s">
        <v>282</v>
      </c>
      <c r="G48" s="224" t="s">
        <v>1182</v>
      </c>
      <c r="H48" s="224" t="s">
        <v>1190</v>
      </c>
    </row>
    <row r="49" spans="1:8">
      <c r="A49" s="224" t="str">
        <f>INDEX(F49:H49,DATA!$G$4)</f>
        <v>Aceptable (Rais=4)</v>
      </c>
      <c r="B49" s="270">
        <v>0.22222222222222221</v>
      </c>
      <c r="D49" s="526">
        <f>+D45+4</f>
        <v>4.5</v>
      </c>
      <c r="E49" s="526">
        <f t="shared" si="0"/>
        <v>0.22222222222222221</v>
      </c>
      <c r="F49" s="224" t="s">
        <v>1177</v>
      </c>
      <c r="G49" s="224" t="s">
        <v>1183</v>
      </c>
      <c r="H49" s="224" t="s">
        <v>1191</v>
      </c>
    </row>
    <row r="50" spans="1:8">
      <c r="A50" s="224" t="str">
        <f>INDEX(F50:H50,DATA!$G$4)</f>
        <v>Bueno  (Rais=6)</v>
      </c>
      <c r="B50" s="270">
        <v>0.15384615384615385</v>
      </c>
      <c r="D50" s="526">
        <f>D45+6</f>
        <v>6.5</v>
      </c>
      <c r="E50" s="526">
        <f t="shared" si="0"/>
        <v>0.15384615384615385</v>
      </c>
      <c r="F50" s="224" t="s">
        <v>1178</v>
      </c>
      <c r="G50" s="224" t="s">
        <v>1184</v>
      </c>
      <c r="H50" s="224" t="s">
        <v>1192</v>
      </c>
    </row>
    <row r="51" spans="1:8">
      <c r="A51" s="224" t="str">
        <f>INDEX(F51:H51,DATA!$G$4)</f>
        <v>Muy bueno  (Rais=8)</v>
      </c>
      <c r="B51" s="270">
        <v>0.11764705882352941</v>
      </c>
      <c r="D51" s="526">
        <f>D45+8</f>
        <v>8.5</v>
      </c>
      <c r="E51" s="526">
        <f t="shared" si="0"/>
        <v>0.11764705882352941</v>
      </c>
      <c r="F51" s="224" t="s">
        <v>1179</v>
      </c>
      <c r="G51" s="224" t="s">
        <v>1185</v>
      </c>
      <c r="H51" s="224" t="s">
        <v>1193</v>
      </c>
    </row>
    <row r="52" spans="1:8">
      <c r="A52" s="224" t="str">
        <f>INDEX(F52:H52,DATA!$G$4)</f>
        <v>PassivHauss (Rais=10)</v>
      </c>
      <c r="B52" s="270">
        <v>9.5238095238095233E-2</v>
      </c>
      <c r="D52" s="526">
        <f>+D45+10</f>
        <v>10.5</v>
      </c>
      <c r="E52" s="526">
        <f t="shared" si="0"/>
        <v>9.5238095238095233E-2</v>
      </c>
      <c r="F52" s="224" t="s">
        <v>283</v>
      </c>
      <c r="G52" s="224" t="s">
        <v>1186</v>
      </c>
      <c r="H52" s="224" t="s">
        <v>1194</v>
      </c>
    </row>
    <row r="54" spans="1:8">
      <c r="A54" s="1" t="s">
        <v>269</v>
      </c>
      <c r="B54" s="1" t="s">
        <v>244</v>
      </c>
    </row>
    <row r="55" spans="1:8">
      <c r="A55" s="272" t="s">
        <v>211</v>
      </c>
      <c r="B55" s="273">
        <v>0</v>
      </c>
    </row>
    <row r="56" spans="1:8">
      <c r="A56" s="224" t="s">
        <v>866</v>
      </c>
      <c r="B56" s="270">
        <v>0.7</v>
      </c>
    </row>
    <row r="57" spans="1:8">
      <c r="A57" s="224" t="s">
        <v>867</v>
      </c>
      <c r="B57" s="270">
        <v>1</v>
      </c>
    </row>
    <row r="58" spans="1:8">
      <c r="A58" s="224" t="s">
        <v>868</v>
      </c>
      <c r="B58" s="270">
        <v>1.55</v>
      </c>
    </row>
    <row r="59" spans="1:8">
      <c r="A59" s="224" t="s">
        <v>869</v>
      </c>
      <c r="B59" s="270">
        <v>2</v>
      </c>
    </row>
    <row r="60" spans="1:8">
      <c r="A60" s="224" t="s">
        <v>870</v>
      </c>
      <c r="B60" s="270">
        <v>2.5499999999999998</v>
      </c>
    </row>
    <row r="61" spans="1:8">
      <c r="A61" s="224" t="s">
        <v>871</v>
      </c>
      <c r="B61" s="270">
        <v>3</v>
      </c>
    </row>
    <row r="62" spans="1:8">
      <c r="A62" s="224" t="s">
        <v>872</v>
      </c>
      <c r="B62" s="270">
        <f>0.14/0.035</f>
        <v>4</v>
      </c>
    </row>
    <row r="63" spans="1:8">
      <c r="A63" s="224" t="s">
        <v>873</v>
      </c>
      <c r="B63" s="270">
        <v>5</v>
      </c>
    </row>
    <row r="64" spans="1:8">
      <c r="A64" s="224" t="s">
        <v>874</v>
      </c>
      <c r="B64" s="270">
        <f>0.21/0.035</f>
        <v>5.9999999999999991</v>
      </c>
    </row>
    <row r="65" spans="1:8">
      <c r="A65" s="224" t="s">
        <v>875</v>
      </c>
      <c r="B65" s="271">
        <v>7</v>
      </c>
    </row>
    <row r="66" spans="1:8">
      <c r="A66" s="224" t="s">
        <v>876</v>
      </c>
      <c r="B66" s="270">
        <v>8</v>
      </c>
    </row>
    <row r="67" spans="1:8">
      <c r="A67" s="224" t="s">
        <v>877</v>
      </c>
      <c r="B67" s="270">
        <v>9</v>
      </c>
    </row>
    <row r="68" spans="1:8">
      <c r="A68" s="224" t="s">
        <v>878</v>
      </c>
      <c r="B68" s="270">
        <v>10</v>
      </c>
      <c r="C68" s="223"/>
    </row>
    <row r="69" spans="1:8">
      <c r="C69" s="223"/>
    </row>
    <row r="70" spans="1:8">
      <c r="A70" s="223" t="s">
        <v>278</v>
      </c>
      <c r="B70" s="223" t="s">
        <v>245</v>
      </c>
      <c r="C70" s="223" t="s">
        <v>247</v>
      </c>
    </row>
    <row r="71" spans="1:8">
      <c r="A71" s="272" t="s">
        <v>211</v>
      </c>
      <c r="B71" s="225">
        <v>0</v>
      </c>
      <c r="C71" s="225">
        <v>0</v>
      </c>
    </row>
    <row r="72" spans="1:8">
      <c r="A72" s="224" t="str">
        <f>INDEX(F72:H72,DATA!$G$4)</f>
        <v>1  Vidrio + Carp. Madera</v>
      </c>
      <c r="B72" s="225">
        <v>4.79</v>
      </c>
      <c r="C72" s="225">
        <v>0.61</v>
      </c>
      <c r="F72" s="224" t="s">
        <v>1206</v>
      </c>
      <c r="G72" s="224" t="s">
        <v>885</v>
      </c>
      <c r="H72" s="224" t="s">
        <v>1220</v>
      </c>
    </row>
    <row r="73" spans="1:8">
      <c r="A73" s="224" t="str">
        <f>INDEX(F73:H73,DATA!$G$4)</f>
        <v>1  Vidrio + Carp. Alu.</v>
      </c>
      <c r="B73" s="225">
        <v>5.47</v>
      </c>
      <c r="C73" s="225">
        <v>0.59</v>
      </c>
      <c r="F73" s="224" t="s">
        <v>1207</v>
      </c>
      <c r="G73" s="224" t="s">
        <v>890</v>
      </c>
      <c r="H73" s="224" t="s">
        <v>1212</v>
      </c>
    </row>
    <row r="74" spans="1:8">
      <c r="A74" s="224" t="str">
        <f>INDEX(F74:H74,DATA!$G$4)</f>
        <v>1  Vidrio + Carp. PVC</v>
      </c>
      <c r="B74" s="225">
        <v>4.58</v>
      </c>
      <c r="C74" s="225">
        <v>0.59</v>
      </c>
      <c r="F74" s="224" t="s">
        <v>1196</v>
      </c>
      <c r="G74" s="224" t="s">
        <v>879</v>
      </c>
      <c r="H74" s="224" t="s">
        <v>1213</v>
      </c>
    </row>
    <row r="75" spans="1:8">
      <c r="A75" s="224" t="str">
        <f>INDEX(F75:H75,DATA!$G$4)</f>
        <v>2  Vidrio + Carp. Madera</v>
      </c>
      <c r="B75" s="225">
        <v>3.01</v>
      </c>
      <c r="C75" s="225">
        <v>0.61</v>
      </c>
      <c r="F75" s="224" t="s">
        <v>1202</v>
      </c>
      <c r="G75" s="224" t="s">
        <v>886</v>
      </c>
      <c r="H75" s="224" t="s">
        <v>1214</v>
      </c>
    </row>
    <row r="76" spans="1:8">
      <c r="A76" s="224" t="str">
        <f>INDEX(F76:H76,DATA!$G$4)</f>
        <v>2  Vidrio + Carp. Alu.</v>
      </c>
      <c r="B76" s="225">
        <v>2.93</v>
      </c>
      <c r="C76" s="225">
        <v>0.59</v>
      </c>
      <c r="F76" s="224" t="s">
        <v>1208</v>
      </c>
      <c r="G76" s="224" t="s">
        <v>891</v>
      </c>
      <c r="H76" s="224" t="s">
        <v>1215</v>
      </c>
    </row>
    <row r="77" spans="1:8">
      <c r="A77" s="224" t="str">
        <f>INDEX(F77:H77,DATA!$G$4)</f>
        <v>2  Vidrio + Carp. PVC</v>
      </c>
      <c r="B77" s="225">
        <v>2.87</v>
      </c>
      <c r="C77" s="225">
        <v>0.59</v>
      </c>
      <c r="F77" s="224" t="s">
        <v>1197</v>
      </c>
      <c r="G77" s="224" t="s">
        <v>880</v>
      </c>
      <c r="H77" s="224" t="s">
        <v>1216</v>
      </c>
    </row>
    <row r="78" spans="1:8">
      <c r="A78" s="224" t="str">
        <f>INDEX(F78:H78,DATA!$G$4)</f>
        <v>2  Vidrio BE + Carp. Madera</v>
      </c>
      <c r="B78" s="225">
        <v>2.0299999999999998</v>
      </c>
      <c r="C78" s="225">
        <v>0.61</v>
      </c>
      <c r="F78" s="224" t="s">
        <v>1203</v>
      </c>
      <c r="G78" s="224" t="s">
        <v>887</v>
      </c>
      <c r="H78" s="224" t="s">
        <v>1221</v>
      </c>
    </row>
    <row r="79" spans="1:8">
      <c r="A79" s="224" t="str">
        <f>INDEX(F79:H79,DATA!$G$4)</f>
        <v>2  Vidrio BE + Carp. Alu.</v>
      </c>
      <c r="B79" s="225">
        <v>1.99</v>
      </c>
      <c r="C79" s="225">
        <v>0.59</v>
      </c>
      <c r="F79" s="224" t="s">
        <v>1209</v>
      </c>
      <c r="G79" s="224" t="s">
        <v>892</v>
      </c>
      <c r="H79" s="224" t="s">
        <v>1222</v>
      </c>
    </row>
    <row r="80" spans="1:8">
      <c r="A80" s="224" t="str">
        <f>INDEX(F80:H80,DATA!$G$4)</f>
        <v>2  Vidrio BE + Carp. PVC</v>
      </c>
      <c r="B80" s="225">
        <v>1.93</v>
      </c>
      <c r="C80" s="225">
        <v>0.59</v>
      </c>
      <c r="F80" s="224" t="s">
        <v>1198</v>
      </c>
      <c r="G80" s="224" t="s">
        <v>881</v>
      </c>
      <c r="H80" s="224" t="s">
        <v>1223</v>
      </c>
    </row>
    <row r="81" spans="1:8">
      <c r="A81" s="224" t="str">
        <f>INDEX(F81:H81,DATA!$G$4)</f>
        <v>3  Vidrio + Carp. Madera</v>
      </c>
      <c r="B81" s="225">
        <v>2.46</v>
      </c>
      <c r="C81" s="225">
        <v>0.61</v>
      </c>
      <c r="F81" s="224" t="s">
        <v>1204</v>
      </c>
      <c r="G81" s="224" t="s">
        <v>888</v>
      </c>
      <c r="H81" s="224" t="s">
        <v>1217</v>
      </c>
    </row>
    <row r="82" spans="1:8">
      <c r="A82" s="224" t="str">
        <f>INDEX(F82:H82,DATA!$G$4)</f>
        <v>3  Vidrio + Carp. Alu.</v>
      </c>
      <c r="B82" s="225">
        <v>2.4</v>
      </c>
      <c r="C82" s="225">
        <v>0.59</v>
      </c>
      <c r="F82" s="224" t="s">
        <v>1210</v>
      </c>
      <c r="G82" s="224" t="s">
        <v>893</v>
      </c>
      <c r="H82" s="224" t="s">
        <v>1218</v>
      </c>
    </row>
    <row r="83" spans="1:8">
      <c r="A83" s="224" t="str">
        <f>INDEX(F83:H83,DATA!$G$4)</f>
        <v>3  Vidrio + Carp. PVC</v>
      </c>
      <c r="B83" s="225">
        <v>2.34</v>
      </c>
      <c r="C83" s="225">
        <v>0.59</v>
      </c>
      <c r="F83" s="224" t="s">
        <v>1199</v>
      </c>
      <c r="G83" s="224" t="s">
        <v>882</v>
      </c>
      <c r="H83" s="224" t="s">
        <v>1219</v>
      </c>
    </row>
    <row r="84" spans="1:8">
      <c r="A84" s="224" t="str">
        <f>INDEX(F84:H84,DATA!$G$4)</f>
        <v>3  Vidrio BE + Carp. Madera</v>
      </c>
      <c r="B84" s="225">
        <v>1.62</v>
      </c>
      <c r="C84" s="225">
        <v>0.61</v>
      </c>
      <c r="F84" s="224" t="s">
        <v>1205</v>
      </c>
      <c r="G84" s="224" t="s">
        <v>889</v>
      </c>
      <c r="H84" s="224" t="s">
        <v>1224</v>
      </c>
    </row>
    <row r="85" spans="1:8">
      <c r="A85" s="224" t="str">
        <f>INDEX(F85:H85,DATA!$G$4)</f>
        <v>3  Vidrio BE + Carp. Alu.</v>
      </c>
      <c r="B85" s="225">
        <v>1.6</v>
      </c>
      <c r="C85" s="225">
        <v>0.59</v>
      </c>
      <c r="F85" s="224" t="s">
        <v>1211</v>
      </c>
      <c r="G85" s="224" t="s">
        <v>894</v>
      </c>
      <c r="H85" s="224" t="s">
        <v>1225</v>
      </c>
    </row>
    <row r="86" spans="1:8">
      <c r="A86" s="224" t="str">
        <f>INDEX(F86:H86,DATA!$G$4)</f>
        <v>3  Vidrio BE + Carp. PVC</v>
      </c>
      <c r="B86" s="225">
        <v>1.54</v>
      </c>
      <c r="C86" s="225">
        <v>0.59</v>
      </c>
      <c r="F86" s="224" t="s">
        <v>1200</v>
      </c>
      <c r="G86" s="224" t="s">
        <v>883</v>
      </c>
      <c r="H86" s="224" t="s">
        <v>1226</v>
      </c>
    </row>
    <row r="87" spans="1:8">
      <c r="A87" s="224" t="str">
        <f>INDEX(F87:H87,DATA!$G$4)</f>
        <v>3  Vidrio BE + Carp. PassivHaus</v>
      </c>
      <c r="B87" s="225">
        <v>0.9</v>
      </c>
      <c r="C87" s="225">
        <v>0.59</v>
      </c>
      <c r="F87" s="224" t="s">
        <v>1201</v>
      </c>
      <c r="G87" s="224" t="s">
        <v>884</v>
      </c>
      <c r="H87" s="224" t="s">
        <v>1227</v>
      </c>
    </row>
    <row r="89" spans="1:8">
      <c r="A89" s="223" t="s">
        <v>272</v>
      </c>
    </row>
    <row r="90" spans="1:8">
      <c r="A90" s="272" t="s">
        <v>211</v>
      </c>
      <c r="B90" s="225">
        <v>1</v>
      </c>
    </row>
    <row r="91" spans="1:8">
      <c r="A91" s="224" t="str">
        <f>INDEX(F91:H91,DATA!$G$4)</f>
        <v>Sin (f=1)</v>
      </c>
      <c r="B91" s="225">
        <v>1</v>
      </c>
      <c r="F91" s="224" t="s">
        <v>1233</v>
      </c>
      <c r="G91" s="224" t="s">
        <v>895</v>
      </c>
      <c r="H91" s="224" t="s">
        <v>1230</v>
      </c>
    </row>
    <row r="92" spans="1:8">
      <c r="A92" s="224" t="str">
        <f>INDEX(F92:H92,DATA!$G$4)</f>
        <v>Usual (f=0,7)</v>
      </c>
      <c r="B92" s="225">
        <v>0.7</v>
      </c>
      <c r="F92" s="224" t="s">
        <v>292</v>
      </c>
      <c r="G92" s="224" t="s">
        <v>292</v>
      </c>
      <c r="H92" s="224" t="s">
        <v>1231</v>
      </c>
    </row>
    <row r="93" spans="1:8">
      <c r="A93" s="224" t="str">
        <f>INDEX(F93:H93,DATA!$G$4)</f>
        <v>Alta (f=0,5)</v>
      </c>
      <c r="B93" s="225">
        <v>0.5</v>
      </c>
      <c r="F93" s="224" t="s">
        <v>1228</v>
      </c>
      <c r="G93" s="224" t="s">
        <v>906</v>
      </c>
      <c r="H93" s="224" t="s">
        <v>1232</v>
      </c>
    </row>
    <row r="94" spans="1:8">
      <c r="A94" s="224" t="str">
        <f>INDEX(F94:H94,DATA!$G$4)</f>
        <v>Muy Alta (f=0,3)</v>
      </c>
      <c r="B94" s="225">
        <v>0.3</v>
      </c>
      <c r="F94" s="224" t="s">
        <v>1229</v>
      </c>
      <c r="G94" s="224" t="s">
        <v>907</v>
      </c>
      <c r="H94" s="224" t="s">
        <v>1242</v>
      </c>
    </row>
    <row r="96" spans="1:8">
      <c r="A96" s="1" t="s">
        <v>475</v>
      </c>
    </row>
    <row r="97" spans="1:8">
      <c r="A97" s="224" t="str">
        <f>INDEX(F97:H97,DATA!$G$4)</f>
        <v>Sin</v>
      </c>
      <c r="B97" s="225">
        <v>0</v>
      </c>
      <c r="F97" s="224" t="s">
        <v>1234</v>
      </c>
      <c r="G97" s="224" t="s">
        <v>896</v>
      </c>
      <c r="H97" s="224" t="s">
        <v>1237</v>
      </c>
    </row>
    <row r="98" spans="1:8">
      <c r="A98" s="224" t="str">
        <f>INDEX(F98:H98,DATA!$G$4)</f>
        <v>Eficacia standadrd</v>
      </c>
      <c r="B98" s="225">
        <v>0.7</v>
      </c>
      <c r="F98" s="224" t="s">
        <v>1235</v>
      </c>
      <c r="G98" s="224" t="s">
        <v>897</v>
      </c>
      <c r="H98" s="224" t="s">
        <v>1243</v>
      </c>
    </row>
    <row r="99" spans="1:8">
      <c r="A99" s="224" t="str">
        <f>INDEX(F99:H99,DATA!$G$4)</f>
        <v>Eficacia elevada</v>
      </c>
      <c r="B99" s="225">
        <v>0.9</v>
      </c>
      <c r="F99" s="224" t="s">
        <v>1236</v>
      </c>
      <c r="G99" s="224" t="s">
        <v>908</v>
      </c>
      <c r="H99" s="224" t="s">
        <v>1244</v>
      </c>
    </row>
  </sheetData>
  <sheetProtection password="D60A" sheet="1" objects="1" scenarios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4"/>
  <sheetViews>
    <sheetView topLeftCell="A88" zoomScale="60" zoomScaleNormal="60" workbookViewId="0">
      <selection activeCell="U120" sqref="U120"/>
    </sheetView>
  </sheetViews>
  <sheetFormatPr baseColWidth="10" defaultColWidth="11.42578125" defaultRowHeight="14.25"/>
  <cols>
    <col min="1" max="1" width="19.85546875" style="110" bestFit="1" customWidth="1"/>
    <col min="2" max="2" width="25" style="110" bestFit="1" customWidth="1"/>
    <col min="3" max="3" width="55.42578125" style="110" bestFit="1" customWidth="1"/>
    <col min="4" max="4" width="10.7109375" style="110" bestFit="1" customWidth="1"/>
    <col min="5" max="5" width="9.5703125" style="110" bestFit="1" customWidth="1"/>
    <col min="6" max="6" width="10.42578125" style="110" bestFit="1" customWidth="1"/>
    <col min="7" max="7" width="10.7109375" style="110" bestFit="1" customWidth="1"/>
    <col min="8" max="8" width="10.5703125" style="110" bestFit="1" customWidth="1"/>
    <col min="9" max="9" width="11.140625" style="110" bestFit="1" customWidth="1"/>
    <col min="10" max="10" width="11.42578125" style="110" bestFit="1" customWidth="1"/>
    <col min="11" max="11" width="11" style="110" bestFit="1" customWidth="1"/>
    <col min="12" max="12" width="10.7109375" style="110" bestFit="1" customWidth="1"/>
    <col min="13" max="13" width="10.5703125" style="110" bestFit="1" customWidth="1"/>
    <col min="14" max="14" width="10" style="110" bestFit="1" customWidth="1"/>
    <col min="15" max="15" width="9.5703125" style="110" bestFit="1" customWidth="1"/>
    <col min="16" max="17" width="11.42578125" style="110"/>
    <col min="18" max="16384" width="11.42578125" style="1"/>
  </cols>
  <sheetData>
    <row r="1" spans="1:20" ht="15">
      <c r="A1" s="147"/>
    </row>
    <row r="2" spans="1:20" s="2" customFormat="1" ht="17.25" customHeight="1">
      <c r="A2" s="147"/>
      <c r="B2" s="148" t="s">
        <v>101</v>
      </c>
      <c r="C2" s="149">
        <f>DATA!$B$5</f>
        <v>6</v>
      </c>
      <c r="D2" s="110" t="str">
        <f>INDEX(Cities!A3:A91,C2,1)</f>
        <v>(Es) Barcelona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0" s="3" customFormat="1">
      <c r="A3" s="110"/>
      <c r="B3" s="148" t="s">
        <v>26</v>
      </c>
      <c r="C3" s="150" t="s">
        <v>4</v>
      </c>
      <c r="D3" s="151">
        <f>DATA!B6</f>
        <v>1582.5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20" s="3" customFormat="1">
      <c r="A4" s="110"/>
      <c r="B4" s="148" t="s">
        <v>27</v>
      </c>
      <c r="C4" s="150" t="s">
        <v>37</v>
      </c>
      <c r="D4" s="151">
        <f>DATA!H14</f>
        <v>300</v>
      </c>
      <c r="E4" s="110" t="str">
        <f>IF(D4&lt;=100,"muy baja",IF(D4&lt;=150,"baja",IF(D4&lt;400,"alta",IF(D4&lt;=400,"alta","muy alta"))))</f>
        <v>alta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20" s="3" customFormat="1">
      <c r="A5" s="110"/>
      <c r="B5" s="148" t="s">
        <v>102</v>
      </c>
      <c r="C5" s="150" t="s">
        <v>146</v>
      </c>
      <c r="D5" s="151">
        <f>DATA!H9*(1-DATA!B11)</f>
        <v>0.5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20" s="3" customFormat="1">
      <c r="A6" s="110"/>
      <c r="B6" s="148"/>
      <c r="C6" s="150" t="s">
        <v>145</v>
      </c>
      <c r="D6" s="151">
        <f>DATA!H12</f>
        <v>3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1:20" s="3" customFormat="1">
      <c r="A7" s="110"/>
      <c r="B7" s="148" t="s">
        <v>103</v>
      </c>
      <c r="C7" s="150" t="s">
        <v>28</v>
      </c>
      <c r="D7" s="151">
        <f>DATA!B7/DATA!B6</f>
        <v>2.7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20" s="3" customFormat="1">
      <c r="A8" s="110" t="s">
        <v>100</v>
      </c>
      <c r="B8" s="169" t="s">
        <v>48</v>
      </c>
      <c r="C8" s="150" t="s">
        <v>14</v>
      </c>
      <c r="D8" s="153">
        <v>19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20" s="3" customFormat="1">
      <c r="A9" s="110"/>
      <c r="B9" s="169" t="s">
        <v>49</v>
      </c>
      <c r="C9" s="154" t="s">
        <v>14</v>
      </c>
      <c r="D9" s="155">
        <v>26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</row>
    <row r="10" spans="1:20" s="3" customFormat="1" ht="15" thickBot="1">
      <c r="A10" s="110"/>
      <c r="B10" s="156" t="s">
        <v>104</v>
      </c>
      <c r="C10" s="217" t="s">
        <v>36</v>
      </c>
      <c r="D10" s="151">
        <f>DATA!H13</f>
        <v>2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20" s="3" customFormat="1" ht="15" thickBot="1">
      <c r="A11" s="110"/>
      <c r="B11" s="110"/>
      <c r="C11" s="110"/>
      <c r="D11" s="157" t="s">
        <v>32</v>
      </c>
      <c r="E11" s="158"/>
      <c r="F11" s="158"/>
      <c r="G11" s="158"/>
      <c r="H11" s="158"/>
      <c r="I11" s="158"/>
      <c r="J11" s="159"/>
      <c r="K11" s="160"/>
      <c r="L11" s="146" t="s">
        <v>158</v>
      </c>
      <c r="M11" s="159"/>
      <c r="N11" s="159"/>
      <c r="O11" s="159"/>
      <c r="P11" s="159"/>
      <c r="Q11" s="160"/>
    </row>
    <row r="12" spans="1:20" s="3" customFormat="1" ht="15" thickBot="1">
      <c r="A12" s="110"/>
      <c r="B12" s="110"/>
      <c r="C12" s="110"/>
      <c r="D12" s="146" t="s">
        <v>116</v>
      </c>
      <c r="E12" s="159"/>
      <c r="F12" s="159"/>
      <c r="G12" s="159"/>
      <c r="H12" s="159"/>
      <c r="I12" s="160"/>
      <c r="J12" s="160" t="s">
        <v>117</v>
      </c>
      <c r="K12" s="146" t="s">
        <v>159</v>
      </c>
      <c r="L12" s="161"/>
      <c r="M12" s="162"/>
      <c r="N12" s="163"/>
      <c r="O12" s="138"/>
      <c r="P12" s="138"/>
      <c r="Q12" s="138"/>
    </row>
    <row r="13" spans="1:20" s="3" customFormat="1">
      <c r="A13" s="110"/>
      <c r="B13" s="110"/>
      <c r="C13" s="110"/>
      <c r="D13" s="164" t="s">
        <v>22</v>
      </c>
      <c r="E13" s="164" t="s">
        <v>97</v>
      </c>
      <c r="F13" s="164" t="s">
        <v>24</v>
      </c>
      <c r="G13" s="164" t="s">
        <v>23</v>
      </c>
      <c r="H13" s="164" t="s">
        <v>21</v>
      </c>
      <c r="I13" s="164" t="s">
        <v>98</v>
      </c>
      <c r="J13" s="164" t="s">
        <v>117</v>
      </c>
      <c r="K13" s="164" t="s">
        <v>158</v>
      </c>
      <c r="L13" s="164" t="str">
        <f>DATA!B91</f>
        <v>wall 1</v>
      </c>
      <c r="M13" s="164" t="str">
        <f>DATA!C91</f>
        <v>wall 2</v>
      </c>
      <c r="N13" s="164" t="str">
        <f>DATA!D91</f>
        <v>wall 3</v>
      </c>
      <c r="O13" s="164" t="str">
        <f>DATA!E91</f>
        <v>wall 4</v>
      </c>
      <c r="P13" s="156" t="s">
        <v>33</v>
      </c>
      <c r="Q13" s="165" t="s">
        <v>216</v>
      </c>
      <c r="R13" s="110" t="s">
        <v>116</v>
      </c>
      <c r="S13" s="110" t="s">
        <v>215</v>
      </c>
      <c r="T13" s="110" t="s">
        <v>158</v>
      </c>
    </row>
    <row r="14" spans="1:20" s="3" customFormat="1">
      <c r="A14" s="166" t="s">
        <v>25</v>
      </c>
      <c r="B14" s="152" t="s">
        <v>1</v>
      </c>
      <c r="C14" s="150" t="s">
        <v>4</v>
      </c>
      <c r="D14" s="151">
        <f>DATA!B17</f>
        <v>75</v>
      </c>
      <c r="E14" s="151">
        <f>DATA!C17</f>
        <v>0</v>
      </c>
      <c r="F14" s="151">
        <f>DATA!D17</f>
        <v>394.5</v>
      </c>
      <c r="G14" s="151">
        <f>DATA!E17</f>
        <v>231</v>
      </c>
      <c r="H14" s="151">
        <f>DATA!F17</f>
        <v>394.5</v>
      </c>
      <c r="I14" s="151">
        <f>DATA!G17</f>
        <v>0</v>
      </c>
      <c r="J14" s="151">
        <f>DATA!B54</f>
        <v>335.5</v>
      </c>
      <c r="K14" s="151">
        <f>DATA!D54</f>
        <v>0</v>
      </c>
      <c r="L14" s="151">
        <f>DATA!B92</f>
        <v>335.4</v>
      </c>
      <c r="M14" s="151">
        <f>DATA!C92</f>
        <v>0</v>
      </c>
      <c r="N14" s="151">
        <f>DATA!D92</f>
        <v>0</v>
      </c>
      <c r="O14" s="151">
        <f>DATA!E92</f>
        <v>0</v>
      </c>
      <c r="P14" s="153"/>
      <c r="Q14" s="151">
        <f>DATA!C54</f>
        <v>335</v>
      </c>
      <c r="R14" s="110"/>
      <c r="S14" s="110"/>
      <c r="T14" s="110"/>
    </row>
    <row r="15" spans="1:20" s="3" customFormat="1">
      <c r="A15" s="167"/>
      <c r="B15" s="152" t="s">
        <v>105</v>
      </c>
      <c r="C15" s="150" t="s">
        <v>29</v>
      </c>
      <c r="D15" s="151">
        <f>DATA!B18</f>
        <v>0.03</v>
      </c>
      <c r="E15" s="151">
        <f>DATA!C18</f>
        <v>0</v>
      </c>
      <c r="F15" s="151">
        <f>DATA!D18</f>
        <v>0.1</v>
      </c>
      <c r="G15" s="151">
        <f>DATA!E18</f>
        <v>0.25</v>
      </c>
      <c r="H15" s="151">
        <f>DATA!F18</f>
        <v>0.1</v>
      </c>
      <c r="I15" s="151">
        <f>DATA!G18</f>
        <v>0</v>
      </c>
      <c r="J15" s="151">
        <f>DATA!B55</f>
        <v>0</v>
      </c>
      <c r="K15" s="151">
        <f>DATA!D55</f>
        <v>0</v>
      </c>
      <c r="L15" s="151">
        <f>DATA!B93</f>
        <v>0</v>
      </c>
      <c r="M15" s="151">
        <f>DATA!C93</f>
        <v>0</v>
      </c>
      <c r="N15" s="151">
        <f>DATA!D93</f>
        <v>0</v>
      </c>
      <c r="O15" s="151">
        <f>DATA!E93</f>
        <v>0</v>
      </c>
      <c r="P15" s="153"/>
      <c r="Q15" s="258" t="s">
        <v>211</v>
      </c>
      <c r="R15" s="110"/>
      <c r="S15" s="110"/>
      <c r="T15" s="110"/>
    </row>
    <row r="16" spans="1:20" s="3" customFormat="1">
      <c r="A16" s="166" t="s">
        <v>115</v>
      </c>
      <c r="B16" s="168" t="s">
        <v>99</v>
      </c>
      <c r="C16" s="150" t="s">
        <v>30</v>
      </c>
      <c r="D16" s="268">
        <f>DATA!B21</f>
        <v>2</v>
      </c>
      <c r="E16" s="268">
        <f>DATA!C21</f>
        <v>0</v>
      </c>
      <c r="F16" s="268">
        <f>DATA!D21</f>
        <v>2</v>
      </c>
      <c r="G16" s="268">
        <f>DATA!E21</f>
        <v>2</v>
      </c>
      <c r="H16" s="268">
        <f>DATA!F21</f>
        <v>2</v>
      </c>
      <c r="I16" s="268">
        <f>DATA!G21</f>
        <v>0</v>
      </c>
      <c r="J16" s="151">
        <f>DATA!B58</f>
        <v>2</v>
      </c>
      <c r="K16" s="151">
        <f>DATA!D58</f>
        <v>0</v>
      </c>
      <c r="L16" s="268">
        <f>DATA!B97</f>
        <v>2</v>
      </c>
      <c r="M16" s="268">
        <f>DATA!C97</f>
        <v>0</v>
      </c>
      <c r="N16" s="268">
        <f>DATA!D97</f>
        <v>0</v>
      </c>
      <c r="O16" s="268">
        <f>DATA!E97</f>
        <v>0</v>
      </c>
      <c r="P16" s="153"/>
      <c r="Q16" s="151">
        <f>DATA!C58</f>
        <v>2</v>
      </c>
      <c r="R16" s="110"/>
      <c r="S16" s="110"/>
      <c r="T16" s="110"/>
    </row>
    <row r="17" spans="1:20" s="3" customFormat="1">
      <c r="A17" s="167"/>
      <c r="B17" s="168" t="s">
        <v>106</v>
      </c>
      <c r="C17" s="150" t="s">
        <v>30</v>
      </c>
      <c r="D17" s="268">
        <f>DATA!B23</f>
        <v>3.01</v>
      </c>
      <c r="E17" s="268">
        <f>DATA!C23</f>
        <v>0</v>
      </c>
      <c r="F17" s="268">
        <f>DATA!D23</f>
        <v>3.01</v>
      </c>
      <c r="G17" s="268">
        <f>DATA!E23</f>
        <v>3.01</v>
      </c>
      <c r="H17" s="268">
        <f>DATA!F23</f>
        <v>3.01</v>
      </c>
      <c r="I17" s="268">
        <f>DATA!G23</f>
        <v>0</v>
      </c>
      <c r="J17" s="151">
        <f>DATA!B60</f>
        <v>0</v>
      </c>
      <c r="K17" s="151">
        <f>DATA!D60</f>
        <v>0</v>
      </c>
      <c r="L17" s="268">
        <f>DATA!B99</f>
        <v>0</v>
      </c>
      <c r="M17" s="268">
        <f>DATA!C99</f>
        <v>0</v>
      </c>
      <c r="N17" s="268">
        <f>DATA!D99</f>
        <v>0</v>
      </c>
      <c r="O17" s="268">
        <f>DATA!E99</f>
        <v>0</v>
      </c>
      <c r="P17" s="153"/>
      <c r="Q17" s="258" t="s">
        <v>211</v>
      </c>
      <c r="R17" s="110"/>
      <c r="S17" s="110"/>
      <c r="T17" s="110"/>
    </row>
    <row r="18" spans="1:20" s="3" customFormat="1">
      <c r="A18" s="167"/>
      <c r="B18" s="168" t="s">
        <v>107</v>
      </c>
      <c r="C18" s="150" t="s">
        <v>29</v>
      </c>
      <c r="D18" s="268">
        <f>DATA!B24</f>
        <v>0.61</v>
      </c>
      <c r="E18" s="268">
        <f>DATA!C24</f>
        <v>0</v>
      </c>
      <c r="F18" s="268">
        <f>DATA!D24</f>
        <v>0.61</v>
      </c>
      <c r="G18" s="268">
        <f>DATA!E24</f>
        <v>0.61</v>
      </c>
      <c r="H18" s="268">
        <f>DATA!F24</f>
        <v>0.61</v>
      </c>
      <c r="I18" s="268">
        <f>DATA!G24</f>
        <v>0</v>
      </c>
      <c r="J18" s="151">
        <f>DATA!B61</f>
        <v>0</v>
      </c>
      <c r="K18" s="151">
        <f>DATA!D61</f>
        <v>0</v>
      </c>
      <c r="L18" s="153"/>
      <c r="M18" s="153"/>
      <c r="N18" s="153"/>
      <c r="O18" s="153"/>
      <c r="P18" s="153"/>
      <c r="Q18" s="258" t="s">
        <v>211</v>
      </c>
      <c r="R18" s="110"/>
      <c r="S18" s="110"/>
      <c r="T18" s="110"/>
    </row>
    <row r="19" spans="1:20" s="3" customFormat="1" ht="15">
      <c r="A19" s="164"/>
      <c r="B19" s="168" t="s">
        <v>182</v>
      </c>
      <c r="C19" s="150" t="s">
        <v>29</v>
      </c>
      <c r="D19" s="221">
        <v>1</v>
      </c>
      <c r="E19" s="221">
        <v>1</v>
      </c>
      <c r="F19" s="221">
        <v>1</v>
      </c>
      <c r="G19" s="221">
        <v>1</v>
      </c>
      <c r="H19" s="221">
        <v>1</v>
      </c>
      <c r="I19" s="221">
        <v>1</v>
      </c>
      <c r="J19" s="221">
        <v>1</v>
      </c>
      <c r="K19" s="221">
        <v>1</v>
      </c>
      <c r="L19" s="151">
        <f>DATA!B119</f>
        <v>0.2</v>
      </c>
      <c r="M19" s="151">
        <f>DATA!C119</f>
        <v>1</v>
      </c>
      <c r="N19" s="151">
        <f>DATA!D119</f>
        <v>1</v>
      </c>
      <c r="O19" s="151">
        <v>0.2</v>
      </c>
      <c r="P19" s="153"/>
      <c r="Q19" s="258" t="s">
        <v>211</v>
      </c>
      <c r="R19" s="110"/>
      <c r="S19" s="110"/>
      <c r="T19" s="110"/>
    </row>
    <row r="20" spans="1:20" s="3" customFormat="1">
      <c r="A20" s="167" t="s">
        <v>114</v>
      </c>
      <c r="B20" s="152" t="s">
        <v>108</v>
      </c>
      <c r="C20" s="150" t="s">
        <v>29</v>
      </c>
      <c r="D20" s="221">
        <v>1</v>
      </c>
      <c r="E20" s="221">
        <v>1</v>
      </c>
      <c r="F20" s="221">
        <v>1</v>
      </c>
      <c r="G20" s="221">
        <v>1</v>
      </c>
      <c r="H20" s="221">
        <v>1</v>
      </c>
      <c r="I20" s="221">
        <v>1</v>
      </c>
      <c r="J20" s="221">
        <v>1</v>
      </c>
      <c r="K20" s="153"/>
      <c r="L20" s="153"/>
      <c r="M20" s="153"/>
      <c r="N20" s="153"/>
      <c r="O20" s="153"/>
      <c r="P20" s="153"/>
      <c r="Q20" s="153"/>
      <c r="R20" s="110"/>
      <c r="S20" s="110"/>
      <c r="T20" s="110"/>
    </row>
    <row r="21" spans="1:20" s="3" customFormat="1">
      <c r="A21" s="167"/>
      <c r="B21" s="152" t="s">
        <v>109</v>
      </c>
      <c r="C21" s="150" t="s">
        <v>29</v>
      </c>
      <c r="D21" s="221">
        <v>0.7</v>
      </c>
      <c r="E21" s="221">
        <v>0.7</v>
      </c>
      <c r="F21" s="221">
        <v>0.7</v>
      </c>
      <c r="G21" s="221">
        <v>0.7</v>
      </c>
      <c r="H21" s="221">
        <v>0.7</v>
      </c>
      <c r="I21" s="221">
        <v>0.7</v>
      </c>
      <c r="J21" s="221">
        <v>0.7</v>
      </c>
      <c r="K21" s="153"/>
      <c r="L21" s="153"/>
      <c r="M21" s="153"/>
      <c r="N21" s="153"/>
      <c r="O21" s="153"/>
      <c r="P21" s="153"/>
      <c r="Q21" s="153"/>
      <c r="R21" s="110"/>
      <c r="S21" s="110"/>
      <c r="T21" s="110"/>
    </row>
    <row r="22" spans="1:20" s="3" customFormat="1">
      <c r="A22" s="167"/>
      <c r="B22" s="152" t="s">
        <v>110</v>
      </c>
      <c r="C22" s="150" t="s">
        <v>29</v>
      </c>
      <c r="D22" s="221">
        <v>1</v>
      </c>
      <c r="E22" s="221">
        <v>1</v>
      </c>
      <c r="F22" s="221">
        <v>1</v>
      </c>
      <c r="G22" s="221">
        <v>1</v>
      </c>
      <c r="H22" s="221">
        <v>1</v>
      </c>
      <c r="I22" s="221">
        <v>1</v>
      </c>
      <c r="J22" s="221">
        <v>1</v>
      </c>
      <c r="K22" s="153"/>
      <c r="L22" s="153"/>
      <c r="M22" s="153"/>
      <c r="N22" s="153"/>
      <c r="O22" s="153"/>
      <c r="P22" s="153"/>
      <c r="Q22" s="153"/>
      <c r="R22" s="110"/>
      <c r="S22" s="110"/>
      <c r="T22" s="110"/>
    </row>
    <row r="23" spans="1:20" s="3" customFormat="1">
      <c r="A23" s="167"/>
      <c r="B23" s="152" t="s">
        <v>111</v>
      </c>
      <c r="C23" s="150" t="s">
        <v>29</v>
      </c>
      <c r="D23" s="269">
        <f>DATA!B26</f>
        <v>0.7</v>
      </c>
      <c r="E23" s="269">
        <f>DATA!C26</f>
        <v>1</v>
      </c>
      <c r="F23" s="269">
        <f>DATA!D26</f>
        <v>0.7</v>
      </c>
      <c r="G23" s="269">
        <f>DATA!E26</f>
        <v>0.7</v>
      </c>
      <c r="H23" s="269">
        <f>DATA!F26</f>
        <v>0.7</v>
      </c>
      <c r="I23" s="269">
        <f>DATA!G26</f>
        <v>1</v>
      </c>
      <c r="J23" s="221">
        <f>DATA!B63</f>
        <v>1</v>
      </c>
      <c r="K23" s="153">
        <f>DATA!D63</f>
        <v>1</v>
      </c>
      <c r="L23" s="153"/>
      <c r="M23" s="153"/>
      <c r="N23" s="153"/>
      <c r="O23" s="153"/>
      <c r="P23" s="153"/>
      <c r="Q23" s="153"/>
      <c r="R23" s="110"/>
      <c r="S23" s="110"/>
      <c r="T23" s="110"/>
    </row>
    <row r="24" spans="1:20" s="3" customFormat="1">
      <c r="A24" s="167"/>
      <c r="B24" s="152" t="s">
        <v>112</v>
      </c>
      <c r="C24" s="150" t="s">
        <v>29</v>
      </c>
      <c r="D24" s="221">
        <v>1</v>
      </c>
      <c r="E24" s="221">
        <v>1</v>
      </c>
      <c r="F24" s="221">
        <v>1</v>
      </c>
      <c r="G24" s="221">
        <v>1</v>
      </c>
      <c r="H24" s="221">
        <v>1</v>
      </c>
      <c r="I24" s="221">
        <v>1</v>
      </c>
      <c r="J24" s="221">
        <v>1</v>
      </c>
      <c r="K24" s="153"/>
      <c r="L24" s="153"/>
      <c r="M24" s="153"/>
      <c r="N24" s="153"/>
      <c r="O24" s="153"/>
      <c r="P24" s="153"/>
      <c r="Q24" s="153"/>
      <c r="R24" s="110"/>
      <c r="S24" s="110"/>
      <c r="T24" s="110"/>
    </row>
    <row r="25" spans="1:20" s="3" customFormat="1">
      <c r="A25" s="167"/>
      <c r="B25" s="152" t="s">
        <v>113</v>
      </c>
      <c r="C25" s="150" t="s">
        <v>29</v>
      </c>
      <c r="D25" s="221">
        <v>1</v>
      </c>
      <c r="E25" s="221">
        <v>1</v>
      </c>
      <c r="F25" s="221">
        <v>1</v>
      </c>
      <c r="G25" s="221">
        <v>1</v>
      </c>
      <c r="H25" s="221">
        <v>1</v>
      </c>
      <c r="I25" s="221">
        <v>1</v>
      </c>
      <c r="J25" s="221">
        <v>1</v>
      </c>
      <c r="K25" s="153"/>
      <c r="L25" s="153"/>
      <c r="M25" s="153"/>
      <c r="N25" s="153"/>
      <c r="O25" s="153"/>
      <c r="P25" s="153"/>
      <c r="Q25" s="153"/>
      <c r="R25" s="110"/>
      <c r="S25" s="110"/>
      <c r="T25" s="110"/>
    </row>
    <row r="26" spans="1:20">
      <c r="B26" s="152" t="s">
        <v>168</v>
      </c>
      <c r="C26" s="150" t="s">
        <v>31</v>
      </c>
      <c r="D26" s="151">
        <f>DATA!B28</f>
        <v>1.3</v>
      </c>
      <c r="E26" s="151">
        <f>DATA!C28</f>
        <v>1</v>
      </c>
      <c r="F26" s="151">
        <f>DATA!D28</f>
        <v>1.3</v>
      </c>
      <c r="G26" s="151">
        <f>DATA!E28</f>
        <v>1.3</v>
      </c>
      <c r="H26" s="151">
        <f>DATA!F28</f>
        <v>1.3</v>
      </c>
      <c r="I26" s="151">
        <f>DATA!G28</f>
        <v>1</v>
      </c>
      <c r="J26" s="151">
        <f>DATA!B65</f>
        <v>1</v>
      </c>
      <c r="K26" s="151">
        <f>DATA!D65</f>
        <v>1</v>
      </c>
      <c r="L26" s="221">
        <v>1</v>
      </c>
      <c r="M26" s="221">
        <v>1</v>
      </c>
      <c r="N26" s="221">
        <v>1</v>
      </c>
      <c r="O26" s="221">
        <v>1</v>
      </c>
      <c r="P26" s="221"/>
      <c r="Q26" s="221">
        <v>1</v>
      </c>
      <c r="R26" s="110"/>
      <c r="S26" s="110"/>
      <c r="T26" s="110"/>
    </row>
    <row r="27" spans="1:20" s="3" customFormat="1">
      <c r="A27" s="169" t="s">
        <v>118</v>
      </c>
      <c r="B27" s="169" t="s">
        <v>34</v>
      </c>
      <c r="C27" s="169" t="s">
        <v>30</v>
      </c>
      <c r="D27" s="170">
        <f>IF(D14=0,0,(D14*(1-D15)*D16+D14*D15*D17)/D14)</f>
        <v>2.0303</v>
      </c>
      <c r="E27" s="170">
        <f>IF(E14=0,0,(E14*(1-E15)*E16+E14*E15*E17)/E14)</f>
        <v>0</v>
      </c>
      <c r="F27" s="170">
        <f t="shared" ref="F27:N27" si="0">IF(F14=0,0,(F14*(1-F15)*F16+F14*F15*F17)/F14)</f>
        <v>2.101</v>
      </c>
      <c r="G27" s="170">
        <f t="shared" si="0"/>
        <v>2.2524999999999999</v>
      </c>
      <c r="H27" s="170">
        <f t="shared" si="0"/>
        <v>2.101</v>
      </c>
      <c r="I27" s="170">
        <f>IF(I14=0,0,(I14*(1-I15)*I16+I14*I15*I17)/I14)</f>
        <v>0</v>
      </c>
      <c r="J27" s="170">
        <f t="shared" si="0"/>
        <v>2</v>
      </c>
      <c r="K27" s="170">
        <f t="shared" si="0"/>
        <v>0</v>
      </c>
      <c r="L27" s="170">
        <f t="shared" si="0"/>
        <v>2</v>
      </c>
      <c r="M27" s="170">
        <f t="shared" si="0"/>
        <v>0</v>
      </c>
      <c r="N27" s="170">
        <f t="shared" si="0"/>
        <v>0</v>
      </c>
      <c r="O27" s="170">
        <f>IF(O14=0,0,(O14*(1-O15)*O16+O14*O15*O17)/O14)</f>
        <v>0</v>
      </c>
      <c r="P27" s="170"/>
      <c r="Q27" s="170">
        <f>IF(Q14=0,0,(Q14*Q16)/Q14)</f>
        <v>2</v>
      </c>
      <c r="R27" s="110"/>
      <c r="S27" s="110"/>
      <c r="T27" s="110"/>
    </row>
    <row r="28" spans="1:20" s="3" customFormat="1" ht="15">
      <c r="A28" s="169" t="s">
        <v>119</v>
      </c>
      <c r="B28" s="169" t="s">
        <v>183</v>
      </c>
      <c r="C28" s="169" t="s">
        <v>16</v>
      </c>
      <c r="D28" s="156">
        <f>D29+D30</f>
        <v>195.92250000000001</v>
      </c>
      <c r="E28" s="156">
        <f t="shared" ref="E28:O28" si="1">E29+E30</f>
        <v>0</v>
      </c>
      <c r="F28" s="156">
        <f t="shared" si="1"/>
        <v>1041.8745000000001</v>
      </c>
      <c r="G28" s="156">
        <f t="shared" si="1"/>
        <v>624.27749999999992</v>
      </c>
      <c r="H28" s="156">
        <f t="shared" si="1"/>
        <v>1041.8745000000001</v>
      </c>
      <c r="I28" s="156">
        <f t="shared" si="1"/>
        <v>0</v>
      </c>
      <c r="J28" s="156">
        <f t="shared" si="1"/>
        <v>671</v>
      </c>
      <c r="K28" s="156">
        <f t="shared" si="1"/>
        <v>0</v>
      </c>
      <c r="L28" s="156">
        <f t="shared" si="1"/>
        <v>134.16</v>
      </c>
      <c r="M28" s="156">
        <f t="shared" si="1"/>
        <v>0</v>
      </c>
      <c r="N28" s="156">
        <f t="shared" si="1"/>
        <v>0</v>
      </c>
      <c r="O28" s="156">
        <f t="shared" si="1"/>
        <v>0</v>
      </c>
      <c r="P28" s="171">
        <f>SUM(D28:O28)</f>
        <v>3709.1089999999999</v>
      </c>
      <c r="Q28" s="245">
        <f>Q14*Q27*Q$26</f>
        <v>670</v>
      </c>
      <c r="R28" s="169">
        <f>SUM(D28:I28)</f>
        <v>2903.9490000000001</v>
      </c>
      <c r="S28" s="169">
        <f>J28</f>
        <v>671</v>
      </c>
      <c r="T28" s="169">
        <f>K28</f>
        <v>0</v>
      </c>
    </row>
    <row r="29" spans="1:20" s="3" customFormat="1">
      <c r="A29" s="169"/>
      <c r="B29" s="169" t="s">
        <v>278</v>
      </c>
      <c r="C29" s="169" t="s">
        <v>16</v>
      </c>
      <c r="D29" s="156">
        <f>IF(D14=0,0,D14*D15*D17*D19)</f>
        <v>6.7724999999999991</v>
      </c>
      <c r="E29" s="156">
        <f t="shared" ref="E29:O29" si="2">IF(E14=0,0,E14*E15*E17*E19)</f>
        <v>0</v>
      </c>
      <c r="F29" s="156">
        <f t="shared" si="2"/>
        <v>118.7445</v>
      </c>
      <c r="G29" s="156">
        <f t="shared" si="2"/>
        <v>173.82749999999999</v>
      </c>
      <c r="H29" s="156">
        <f t="shared" si="2"/>
        <v>118.7445</v>
      </c>
      <c r="I29" s="156">
        <f t="shared" si="2"/>
        <v>0</v>
      </c>
      <c r="J29" s="156">
        <f t="shared" si="2"/>
        <v>0</v>
      </c>
      <c r="K29" s="156">
        <f t="shared" si="2"/>
        <v>0</v>
      </c>
      <c r="L29" s="156">
        <f t="shared" si="2"/>
        <v>0</v>
      </c>
      <c r="M29" s="156">
        <f t="shared" si="2"/>
        <v>0</v>
      </c>
      <c r="N29" s="156">
        <f t="shared" si="2"/>
        <v>0</v>
      </c>
      <c r="O29" s="156">
        <f t="shared" si="2"/>
        <v>0</v>
      </c>
      <c r="P29" s="171">
        <f>SUM(D29:O29)</f>
        <v>418.089</v>
      </c>
      <c r="Q29" s="172"/>
    </row>
    <row r="30" spans="1:20" s="3" customFormat="1">
      <c r="A30" s="169"/>
      <c r="B30" s="169" t="s">
        <v>348</v>
      </c>
      <c r="C30" s="169" t="s">
        <v>16</v>
      </c>
      <c r="D30" s="156">
        <f>IF(D14=0,0,D14*(1-D15)*D16*D19*D26)</f>
        <v>189.15</v>
      </c>
      <c r="E30" s="156">
        <f t="shared" ref="E30:O30" si="3">IF(E14=0,0,E14*(1-E15)*E16*E19*E26)</f>
        <v>0</v>
      </c>
      <c r="F30" s="156">
        <f t="shared" si="3"/>
        <v>923.13000000000011</v>
      </c>
      <c r="G30" s="156">
        <f t="shared" si="3"/>
        <v>450.45</v>
      </c>
      <c r="H30" s="156">
        <f t="shared" si="3"/>
        <v>923.13000000000011</v>
      </c>
      <c r="I30" s="156">
        <f t="shared" si="3"/>
        <v>0</v>
      </c>
      <c r="J30" s="156">
        <f t="shared" si="3"/>
        <v>671</v>
      </c>
      <c r="K30" s="156">
        <f t="shared" si="3"/>
        <v>0</v>
      </c>
      <c r="L30" s="156">
        <f t="shared" si="3"/>
        <v>134.16</v>
      </c>
      <c r="M30" s="156">
        <f t="shared" si="3"/>
        <v>0</v>
      </c>
      <c r="N30" s="156">
        <f t="shared" si="3"/>
        <v>0</v>
      </c>
      <c r="O30" s="156">
        <f t="shared" si="3"/>
        <v>0</v>
      </c>
      <c r="P30" s="171">
        <f>SUM(D30:O30)</f>
        <v>3291.0200000000004</v>
      </c>
      <c r="Q30" s="172"/>
    </row>
    <row r="31" spans="1:20" s="3" customFormat="1">
      <c r="A31" s="169" t="s">
        <v>120</v>
      </c>
      <c r="B31" s="169" t="s">
        <v>148</v>
      </c>
      <c r="C31" s="169" t="s">
        <v>16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56">
        <f>0.34*D3*D7*D5</f>
        <v>726.36750000000018</v>
      </c>
      <c r="Q31" s="172"/>
    </row>
    <row r="32" spans="1:20" s="3" customFormat="1">
      <c r="A32" s="169"/>
      <c r="B32" s="169" t="s">
        <v>147</v>
      </c>
      <c r="C32" s="169" t="s">
        <v>16</v>
      </c>
      <c r="D32" s="173"/>
      <c r="E32" s="173"/>
      <c r="F32" s="173"/>
      <c r="G32" s="173"/>
      <c r="H32" s="173"/>
      <c r="I32" s="173"/>
      <c r="J32" s="173"/>
      <c r="K32" s="173"/>
      <c r="L32" s="172"/>
      <c r="M32" s="172"/>
      <c r="N32" s="172"/>
      <c r="O32" s="172"/>
      <c r="P32" s="156">
        <f>0.34*D3*D7*D6</f>
        <v>4358.2050000000008</v>
      </c>
      <c r="Q32" s="172"/>
    </row>
    <row r="33" spans="1:17" s="3" customFormat="1">
      <c r="A33" s="156" t="s">
        <v>121</v>
      </c>
      <c r="B33" s="165" t="s">
        <v>125</v>
      </c>
      <c r="C33" s="156" t="s">
        <v>29</v>
      </c>
      <c r="D33" s="156">
        <f t="shared" ref="D33:J33" si="4">D20*D21*D22*D24*D25</f>
        <v>0.7</v>
      </c>
      <c r="E33" s="156">
        <f t="shared" si="4"/>
        <v>0.7</v>
      </c>
      <c r="F33" s="156">
        <f t="shared" si="4"/>
        <v>0.7</v>
      </c>
      <c r="G33" s="156">
        <f t="shared" si="4"/>
        <v>0.7</v>
      </c>
      <c r="H33" s="156">
        <f t="shared" si="4"/>
        <v>0.7</v>
      </c>
      <c r="I33" s="156">
        <f t="shared" si="4"/>
        <v>0.7</v>
      </c>
      <c r="J33" s="156">
        <f t="shared" si="4"/>
        <v>0.7</v>
      </c>
      <c r="K33" s="156"/>
      <c r="L33" s="110"/>
      <c r="M33" s="110"/>
      <c r="N33" s="110"/>
      <c r="O33" s="110"/>
      <c r="P33" s="110"/>
      <c r="Q33" s="110"/>
    </row>
    <row r="34" spans="1:17" s="3" customFormat="1">
      <c r="A34" s="174" t="s">
        <v>122</v>
      </c>
      <c r="B34" s="165" t="s">
        <v>126</v>
      </c>
      <c r="C34" s="174" t="s">
        <v>29</v>
      </c>
      <c r="D34" s="156">
        <f t="shared" ref="D34:J34" si="5">D20*D21*D23*D24*D25</f>
        <v>0.48999999999999994</v>
      </c>
      <c r="E34" s="156">
        <f t="shared" si="5"/>
        <v>0.7</v>
      </c>
      <c r="F34" s="156">
        <f t="shared" si="5"/>
        <v>0.48999999999999994</v>
      </c>
      <c r="G34" s="156">
        <f t="shared" si="5"/>
        <v>0.48999999999999994</v>
      </c>
      <c r="H34" s="156">
        <f t="shared" si="5"/>
        <v>0.48999999999999994</v>
      </c>
      <c r="I34" s="156">
        <f t="shared" si="5"/>
        <v>0.7</v>
      </c>
      <c r="J34" s="156">
        <f t="shared" si="5"/>
        <v>0.7</v>
      </c>
      <c r="K34" s="156"/>
      <c r="L34" s="110"/>
      <c r="M34" s="110"/>
      <c r="N34" s="110"/>
      <c r="O34" s="110"/>
      <c r="P34" s="110"/>
      <c r="Q34" s="110"/>
    </row>
    <row r="35" spans="1:17" s="3" customFormat="1">
      <c r="A35" s="156" t="s">
        <v>123</v>
      </c>
      <c r="B35" s="169" t="s">
        <v>127</v>
      </c>
      <c r="C35" s="156" t="s">
        <v>4</v>
      </c>
      <c r="D35" s="169">
        <f t="shared" ref="D35:J35" si="6">D33*D14*D15*D18</f>
        <v>0.96074999999999999</v>
      </c>
      <c r="E35" s="169">
        <f t="shared" si="6"/>
        <v>0</v>
      </c>
      <c r="F35" s="169">
        <f t="shared" si="6"/>
        <v>16.84515</v>
      </c>
      <c r="G35" s="169">
        <f t="shared" si="6"/>
        <v>24.659249999999997</v>
      </c>
      <c r="H35" s="169">
        <f t="shared" si="6"/>
        <v>16.84515</v>
      </c>
      <c r="I35" s="169">
        <f t="shared" si="6"/>
        <v>0</v>
      </c>
      <c r="J35" s="169">
        <f t="shared" si="6"/>
        <v>0</v>
      </c>
      <c r="K35" s="169">
        <v>0</v>
      </c>
      <c r="L35" s="110"/>
      <c r="M35" s="110"/>
      <c r="N35" s="110"/>
      <c r="O35" s="110"/>
      <c r="P35" s="110"/>
      <c r="Q35" s="110"/>
    </row>
    <row r="36" spans="1:17" s="3" customFormat="1" ht="15" thickBot="1">
      <c r="A36" s="156" t="s">
        <v>124</v>
      </c>
      <c r="B36" s="169" t="s">
        <v>128</v>
      </c>
      <c r="C36" s="156" t="s">
        <v>4</v>
      </c>
      <c r="D36" s="166">
        <f t="shared" ref="D36:J36" si="7">D34*D14*D15*D18+0.045*(1-D15)*D14*D16*D20</f>
        <v>7.2200249999999997</v>
      </c>
      <c r="E36" s="166">
        <f t="shared" si="7"/>
        <v>0</v>
      </c>
      <c r="F36" s="166">
        <f t="shared" si="7"/>
        <v>43.746105</v>
      </c>
      <c r="G36" s="166">
        <f t="shared" si="7"/>
        <v>32.853974999999998</v>
      </c>
      <c r="H36" s="166">
        <f t="shared" si="7"/>
        <v>43.746105</v>
      </c>
      <c r="I36" s="166">
        <f t="shared" si="7"/>
        <v>0</v>
      </c>
      <c r="J36" s="166">
        <f t="shared" si="7"/>
        <v>30.195</v>
      </c>
      <c r="K36" s="166">
        <v>0</v>
      </c>
      <c r="L36" s="110"/>
      <c r="M36" s="110"/>
      <c r="N36" s="110"/>
      <c r="O36" s="110"/>
      <c r="P36" s="110"/>
      <c r="Q36" s="110"/>
    </row>
    <row r="37" spans="1:17" ht="15" thickBot="1">
      <c r="D37" s="128" t="s">
        <v>13</v>
      </c>
      <c r="E37" s="129" t="s">
        <v>38</v>
      </c>
      <c r="F37" s="129" t="s">
        <v>39</v>
      </c>
      <c r="G37" s="129" t="s">
        <v>40</v>
      </c>
      <c r="H37" s="129" t="s">
        <v>41</v>
      </c>
      <c r="I37" s="129" t="s">
        <v>42</v>
      </c>
      <c r="J37" s="129" t="s">
        <v>43</v>
      </c>
      <c r="K37" s="129" t="s">
        <v>19</v>
      </c>
      <c r="L37" s="129" t="s">
        <v>44</v>
      </c>
      <c r="M37" s="129" t="s">
        <v>45</v>
      </c>
      <c r="N37" s="129" t="s">
        <v>46</v>
      </c>
      <c r="O37" s="130" t="s">
        <v>47</v>
      </c>
    </row>
    <row r="38" spans="1:17">
      <c r="A38" s="175" t="s">
        <v>50</v>
      </c>
      <c r="B38" s="142" t="s">
        <v>10</v>
      </c>
      <c r="C38" s="176"/>
      <c r="D38" s="177">
        <v>31</v>
      </c>
      <c r="E38" s="178">
        <v>28</v>
      </c>
      <c r="F38" s="178">
        <v>31</v>
      </c>
      <c r="G38" s="178">
        <v>30</v>
      </c>
      <c r="H38" s="178">
        <v>31</v>
      </c>
      <c r="I38" s="178">
        <v>30</v>
      </c>
      <c r="J38" s="178">
        <v>31</v>
      </c>
      <c r="K38" s="178">
        <v>31</v>
      </c>
      <c r="L38" s="178">
        <v>30</v>
      </c>
      <c r="M38" s="178">
        <v>31</v>
      </c>
      <c r="N38" s="178">
        <v>30</v>
      </c>
      <c r="O38" s="179">
        <v>31</v>
      </c>
    </row>
    <row r="39" spans="1:17" ht="15">
      <c r="A39" s="180"/>
      <c r="B39" s="181" t="s">
        <v>184</v>
      </c>
      <c r="C39" s="182" t="s">
        <v>14</v>
      </c>
      <c r="D39" s="183">
        <f>INDEX(Cities!$B$3:$M$91,$C$2,1)</f>
        <v>8.7394838709677405</v>
      </c>
      <c r="E39" s="184">
        <f>INDEX(Cities!$B$3:$M$91,$C$2,2)</f>
        <v>9.4804285714285701</v>
      </c>
      <c r="F39" s="184">
        <f>INDEX(Cities!$B$3:$M$91,$C$2,3)</f>
        <v>10.975870967741931</v>
      </c>
      <c r="G39" s="184">
        <f>INDEX(Cities!$B$3:$M$91,$C$2,4)</f>
        <v>12.772400000000003</v>
      </c>
      <c r="H39" s="184">
        <f>INDEX(Cities!$B$3:$M$91,$C$2,5)</f>
        <v>15.862709677419357</v>
      </c>
      <c r="I39" s="184">
        <f>INDEX(Cities!$B$3:$M$91,$C$2,6)</f>
        <v>19.611066666666662</v>
      </c>
      <c r="J39" s="184">
        <f>INDEX(Cities!$B$3:$M$91,$C$2,7)</f>
        <v>22.773548387096778</v>
      </c>
      <c r="K39" s="184">
        <f>INDEX(Cities!$B$3:$M$91,$C$2,8)</f>
        <v>22.923354838709674</v>
      </c>
      <c r="L39" s="184">
        <f>INDEX(Cities!$B$3:$M$91,$C$2,9)</f>
        <v>20.969200000000001</v>
      </c>
      <c r="M39" s="184">
        <f>INDEX(Cities!$B$3:$M$91,$C$2,10)</f>
        <v>17.009548387096771</v>
      </c>
      <c r="N39" s="184">
        <f>INDEX(Cities!$B$3:$M$91,$C$2,11)</f>
        <v>12.403066666666666</v>
      </c>
      <c r="O39" s="185">
        <f>INDEX(Cities!$B$3:$M$91,$C$2,12)</f>
        <v>9.5865107526881701</v>
      </c>
    </row>
    <row r="40" spans="1:17" ht="15">
      <c r="A40" s="180"/>
      <c r="B40" s="181" t="s">
        <v>185</v>
      </c>
      <c r="C40" s="182" t="s">
        <v>14</v>
      </c>
      <c r="D40" s="183">
        <f>INDEX(Cities!$N$3:$Y$91,$C$2,1)</f>
        <v>8.93</v>
      </c>
      <c r="E40" s="184">
        <f>INDEX(Cities!$N$3:$Y$91,$C$2,2)</f>
        <v>10.14</v>
      </c>
      <c r="F40" s="184">
        <f>INDEX(Cities!$N$3:$Y$91,$C$2,3)</f>
        <v>12.49</v>
      </c>
      <c r="G40" s="184">
        <f>INDEX(Cities!$N$3:$Y$91,$C$2,4)</f>
        <v>14.72</v>
      </c>
      <c r="H40" s="184">
        <f>INDEX(Cities!$N$3:$Y$91,$C$2,5)</f>
        <v>18.93</v>
      </c>
      <c r="I40" s="184">
        <f>INDEX(Cities!$N$3:$Y$91,$C$2,6)</f>
        <v>21.15</v>
      </c>
      <c r="J40" s="184">
        <f>INDEX(Cities!$N$3:$Y$91,$C$2,7)</f>
        <v>21.76</v>
      </c>
      <c r="K40" s="184">
        <f>INDEX(Cities!$N$3:$Y$91,$C$2,8)</f>
        <v>20.63</v>
      </c>
      <c r="L40" s="184">
        <f>INDEX(Cities!$N$3:$Y$91,$C$2,9)</f>
        <v>18.04</v>
      </c>
      <c r="M40" s="184">
        <f>INDEX(Cities!$N$3:$Y$91,$C$2,10)</f>
        <v>14.8</v>
      </c>
      <c r="N40" s="184">
        <f>INDEX(Cities!$N$3:$Y$91,$C$2,11)</f>
        <v>11.61</v>
      </c>
      <c r="O40" s="185">
        <f>INDEX(Cities!$N$3:$Y$91,$C$2,12)</f>
        <v>9.5</v>
      </c>
    </row>
    <row r="41" spans="1:17" ht="15">
      <c r="A41" s="180"/>
      <c r="B41" s="181" t="s">
        <v>186</v>
      </c>
      <c r="C41" s="182" t="s">
        <v>14</v>
      </c>
      <c r="D41" s="186">
        <f>$D$8</f>
        <v>19</v>
      </c>
      <c r="E41" s="187">
        <f>$D$8</f>
        <v>19</v>
      </c>
      <c r="F41" s="187">
        <f>$D$8</f>
        <v>19</v>
      </c>
      <c r="G41" s="187">
        <f>$D$8</f>
        <v>19</v>
      </c>
      <c r="H41" s="187">
        <f>$D$8</f>
        <v>19</v>
      </c>
      <c r="I41" s="187">
        <f t="shared" ref="I41:O41" si="8">$D$8</f>
        <v>19</v>
      </c>
      <c r="J41" s="187">
        <f t="shared" si="8"/>
        <v>19</v>
      </c>
      <c r="K41" s="187">
        <f t="shared" si="8"/>
        <v>19</v>
      </c>
      <c r="L41" s="187">
        <f t="shared" si="8"/>
        <v>19</v>
      </c>
      <c r="M41" s="187">
        <f t="shared" si="8"/>
        <v>19</v>
      </c>
      <c r="N41" s="187">
        <f t="shared" si="8"/>
        <v>19</v>
      </c>
      <c r="O41" s="188">
        <f t="shared" si="8"/>
        <v>19</v>
      </c>
      <c r="P41" s="189"/>
    </row>
    <row r="42" spans="1:17" ht="15">
      <c r="A42" s="180"/>
      <c r="B42" s="181" t="s">
        <v>187</v>
      </c>
      <c r="C42" s="182" t="s">
        <v>14</v>
      </c>
      <c r="D42" s="186">
        <f>$D$9</f>
        <v>26</v>
      </c>
      <c r="E42" s="187">
        <f t="shared" ref="E42:O42" si="9">$D$9</f>
        <v>26</v>
      </c>
      <c r="F42" s="187">
        <f t="shared" si="9"/>
        <v>26</v>
      </c>
      <c r="G42" s="187">
        <f t="shared" si="9"/>
        <v>26</v>
      </c>
      <c r="H42" s="187">
        <f t="shared" si="9"/>
        <v>26</v>
      </c>
      <c r="I42" s="187">
        <f t="shared" si="9"/>
        <v>26</v>
      </c>
      <c r="J42" s="187">
        <f t="shared" si="9"/>
        <v>26</v>
      </c>
      <c r="K42" s="187">
        <f t="shared" si="9"/>
        <v>26</v>
      </c>
      <c r="L42" s="187">
        <f t="shared" si="9"/>
        <v>26</v>
      </c>
      <c r="M42" s="187">
        <f t="shared" si="9"/>
        <v>26</v>
      </c>
      <c r="N42" s="187">
        <f t="shared" si="9"/>
        <v>26</v>
      </c>
      <c r="O42" s="188">
        <f t="shared" si="9"/>
        <v>26</v>
      </c>
      <c r="P42" s="189"/>
    </row>
    <row r="43" spans="1:17">
      <c r="A43" s="180"/>
      <c r="B43" s="143" t="s">
        <v>160</v>
      </c>
      <c r="C43" s="182" t="s">
        <v>164</v>
      </c>
      <c r="D43" s="190">
        <f>INDEX(Cities!$CH$3:$CS$91,$C$2,1)</f>
        <v>7588.6000000000085</v>
      </c>
      <c r="E43" s="191">
        <f>INDEX(Cities!$CH$3:$CS$91,$C$2,2)</f>
        <v>6353.5999999999995</v>
      </c>
      <c r="F43" s="191">
        <f>INDEX(Cities!$CH$3:$CS$91,$C$2,3)</f>
        <v>5922.3999999999951</v>
      </c>
      <c r="G43" s="191">
        <f>INDEX(Cities!$CH$3:$CS$91,$C$2,4)</f>
        <v>4480.5000000000064</v>
      </c>
      <c r="H43" s="191">
        <f>INDEX(Cities!$CH$3:$CS$91,$C$2,5)</f>
        <v>2559.3999999999983</v>
      </c>
      <c r="I43" s="191">
        <f>INDEX(Cities!$CH$3:$CS$91,$C$2,6)</f>
        <v>758.60000000000048</v>
      </c>
      <c r="J43" s="191">
        <f>INDEX(Cities!$CH$3:$CS$91,$C$2,7)</f>
        <v>79.000000000000028</v>
      </c>
      <c r="K43" s="191">
        <f>INDEX(Cities!$CH$3:$CS$91,$C$2,8)</f>
        <v>49.100000000000037</v>
      </c>
      <c r="L43" s="191">
        <f>INDEX(Cities!$CH$3:$CS$91,$C$2,9)</f>
        <v>460.09999999999991</v>
      </c>
      <c r="M43" s="191">
        <f>INDEX(Cities!$CH$3:$CS$91,$C$2,10)</f>
        <v>1953.5000000000002</v>
      </c>
      <c r="N43" s="191">
        <f>INDEX(Cities!$CH$3:$CS$91,$C$2,11)</f>
        <v>4714.3</v>
      </c>
      <c r="O43" s="192">
        <f>INDEX(Cities!$CH$3:$CS$91,$C$2,12)</f>
        <v>6975.2999999999993</v>
      </c>
    </row>
    <row r="44" spans="1:17">
      <c r="A44" s="180"/>
      <c r="B44" s="143" t="s">
        <v>161</v>
      </c>
      <c r="C44" s="182" t="s">
        <v>165</v>
      </c>
      <c r="D44" s="190">
        <f>INDEX(Cities!$CT$3:$DE$91,$C$2,1)</f>
        <v>2</v>
      </c>
      <c r="E44" s="191">
        <f>INDEX(Cities!$CT$3:$DE$91,$C$2,2)</f>
        <v>2.3999999999999986</v>
      </c>
      <c r="F44" s="191">
        <f>INDEX(Cities!$CT$3:$DE$91,$C$2,3)</f>
        <v>9.5999999999999943</v>
      </c>
      <c r="G44" s="191">
        <f>INDEX(Cities!$CT$3:$DE$91,$C$2,4)</f>
        <v>54.100000000000016</v>
      </c>
      <c r="H44" s="191">
        <f>INDEX(Cities!$CT$3:$DE$91,$C$2,5)</f>
        <v>290.5999999999998</v>
      </c>
      <c r="I44" s="191">
        <f>INDEX(Cities!$CT$3:$DE$91,$C$2,6)</f>
        <v>1266.2000000000012</v>
      </c>
      <c r="J44" s="191">
        <f>INDEX(Cities!$CT$3:$DE$91,$C$2,7)</f>
        <v>2953.0999999999931</v>
      </c>
      <c r="K44" s="191">
        <f>INDEX(Cities!$CT$3:$DE$91,$C$2,8)</f>
        <v>3032.9999999999973</v>
      </c>
      <c r="L44" s="191">
        <f>INDEX(Cities!$CT$3:$DE$91,$C$2,9)</f>
        <v>1937.8000000000009</v>
      </c>
      <c r="M44" s="191">
        <f>INDEX(Cities!$CT$3:$DE$91,$C$2,10)</f>
        <v>536.1999999999997</v>
      </c>
      <c r="N44" s="191">
        <f>INDEX(Cities!$CT$3:$DE$91,$C$2,11)</f>
        <v>17.199999999999989</v>
      </c>
      <c r="O44" s="192">
        <f>INDEX(Cities!$CT$3:$DE$91,$C$2,12)</f>
        <v>14.100000000000001</v>
      </c>
    </row>
    <row r="45" spans="1:17">
      <c r="A45" s="180"/>
      <c r="B45" s="143" t="s">
        <v>162</v>
      </c>
      <c r="C45" s="182" t="s">
        <v>166</v>
      </c>
      <c r="D45" s="190">
        <f>INDEX(Cities!$DF$3:$DQ$91,$C$2,1)</f>
        <v>0</v>
      </c>
      <c r="E45" s="191">
        <f>INDEX(Cities!$DF$3:$DQ$91,$C$2,2)</f>
        <v>0</v>
      </c>
      <c r="F45" s="191">
        <f>INDEX(Cities!$DF$3:$DQ$91,$C$2,3)</f>
        <v>0</v>
      </c>
      <c r="G45" s="191">
        <f>INDEX(Cities!$DF$3:$DQ$91,$C$2,4)</f>
        <v>0</v>
      </c>
      <c r="H45" s="191">
        <f>INDEX(Cities!$DF$3:$DQ$91,$C$2,5)</f>
        <v>0</v>
      </c>
      <c r="I45" s="191">
        <f>INDEX(Cities!$DF$3:$DQ$91,$C$2,6)</f>
        <v>22.6</v>
      </c>
      <c r="J45" s="191">
        <f>INDEX(Cities!$DF$3:$DQ$91,$C$2,7)</f>
        <v>252</v>
      </c>
      <c r="K45" s="191">
        <f>INDEX(Cities!$DF$3:$DQ$91,$C$2,8)</f>
        <v>301.00000000000017</v>
      </c>
      <c r="L45" s="191">
        <f>INDEX(Cities!$DF$3:$DQ$91,$C$2,9)</f>
        <v>135.20000000000002</v>
      </c>
      <c r="M45" s="191">
        <f>INDEX(Cities!$DF$3:$DQ$91,$C$2,10)</f>
        <v>1.0000000000000036</v>
      </c>
      <c r="N45" s="191">
        <f>INDEX(Cities!$DF$3:$DQ$91,$C$2,11)</f>
        <v>0</v>
      </c>
      <c r="O45" s="192">
        <f>INDEX(Cities!$DF$3:$DQ$91,$C$2,12)</f>
        <v>0</v>
      </c>
    </row>
    <row r="46" spans="1:17">
      <c r="A46" s="180"/>
      <c r="B46" s="143" t="s">
        <v>163</v>
      </c>
      <c r="C46" s="182" t="s">
        <v>167</v>
      </c>
      <c r="D46" s="190">
        <f>INDEX(Cities!$DR$3:$EC$91,$C$2,1)</f>
        <v>12794.600000000011</v>
      </c>
      <c r="E46" s="191">
        <f>INDEX(Cities!$DR$3:$EC$91,$C$2,2)</f>
        <v>11055.200000000013</v>
      </c>
      <c r="F46" s="191">
        <f>INDEX(Cities!$DR$3:$EC$91,$C$2,3)</f>
        <v>11120.800000000005</v>
      </c>
      <c r="G46" s="191">
        <f>INDEX(Cities!$DR$3:$EC$91,$C$2,4)</f>
        <v>9466.3999999999905</v>
      </c>
      <c r="H46" s="191">
        <f>INDEX(Cities!$DR$3:$EC$91,$C$2,5)</f>
        <v>7476.7999999999984</v>
      </c>
      <c r="I46" s="191">
        <f>INDEX(Cities!$DR$3:$EC$91,$C$2,6)</f>
        <v>4555.0000000000027</v>
      </c>
      <c r="J46" s="191">
        <f>INDEX(Cities!$DR$3:$EC$91,$C$2,7)</f>
        <v>2585.9000000000074</v>
      </c>
      <c r="K46" s="191">
        <f>INDEX(Cities!$DR$3:$EC$91,$C$2,8)</f>
        <v>2525.1000000000017</v>
      </c>
      <c r="L46" s="191">
        <f>INDEX(Cities!$DR$3:$EC$91,$C$2,9)</f>
        <v>3697.5000000000059</v>
      </c>
      <c r="M46" s="191">
        <f>INDEX(Cities!$DR$3:$EC$91,$C$2,10)</f>
        <v>6626.3000000000011</v>
      </c>
      <c r="N46" s="191">
        <f>INDEX(Cities!$DR$3:$EC$91,$C$2,11)</f>
        <v>9737.1000000000222</v>
      </c>
      <c r="O46" s="192">
        <f>INDEX(Cities!$DR$3:$EC$91,$C$2,12)</f>
        <v>12169.200000000003</v>
      </c>
    </row>
    <row r="47" spans="1:17">
      <c r="A47" s="180"/>
      <c r="B47" s="143" t="s">
        <v>35</v>
      </c>
      <c r="C47" s="182" t="s">
        <v>15</v>
      </c>
      <c r="D47" s="193">
        <f>INDEX(Cities!$Z$3:$AK$91,$C$2,1)</f>
        <v>2003.2258064516129</v>
      </c>
      <c r="E47" s="194">
        <f>INDEX(Cities!$Z$3:$AK$91,$C$2,2)</f>
        <v>2840.6785714285716</v>
      </c>
      <c r="F47" s="194">
        <f>INDEX(Cities!$Z$3:$AK$91,$C$2,3)</f>
        <v>3812.1612903225805</v>
      </c>
      <c r="G47" s="194">
        <f>INDEX(Cities!$Z$3:$AK$91,$C$2,4)</f>
        <v>4896.5333333333338</v>
      </c>
      <c r="H47" s="194">
        <f>INDEX(Cities!$Z$3:$AK$91,$C$2,5)</f>
        <v>5879.0645161290322</v>
      </c>
      <c r="I47" s="194">
        <f>INDEX(Cities!$Z$3:$AK$91,$C$2,6)</f>
        <v>6392.3</v>
      </c>
      <c r="J47" s="194">
        <f>INDEX(Cities!$Z$3:$AK$91,$C$2,7)</f>
        <v>6733.3870967741932</v>
      </c>
      <c r="K47" s="194">
        <f>INDEX(Cities!$Z$3:$AK$91,$C$2,8)</f>
        <v>5797.7096774193551</v>
      </c>
      <c r="L47" s="194">
        <f>INDEX(Cities!$Z$3:$AK$91,$C$2,9)</f>
        <v>4403.833333333333</v>
      </c>
      <c r="M47" s="194">
        <f>INDEX(Cities!$Z$3:$AK$91,$C$2,10)</f>
        <v>3211.0322580645161</v>
      </c>
      <c r="N47" s="194">
        <f>INDEX(Cities!$Z$3:$AK$91,$C$2,11)</f>
        <v>2217.1999999999998</v>
      </c>
      <c r="O47" s="195">
        <f>INDEX(Cities!$Z$3:$AK$91,$C$2,12)</f>
        <v>1825.0645161290322</v>
      </c>
    </row>
    <row r="48" spans="1:17">
      <c r="A48" s="180"/>
      <c r="B48" s="143" t="s">
        <v>5</v>
      </c>
      <c r="C48" s="182" t="s">
        <v>15</v>
      </c>
      <c r="D48" s="193">
        <f>INDEX(Cities!$AL$3:$AW$91,$C$2,1)</f>
        <v>3606.3865268394024</v>
      </c>
      <c r="E48" s="194">
        <f>INDEX(Cities!$AL$3:$AW$91,$C$2,2)</f>
        <v>3774.7226480358649</v>
      </c>
      <c r="F48" s="194">
        <f>INDEX(Cities!$AL$3:$AW$91,$C$2,3)</f>
        <v>3448.4832340465614</v>
      </c>
      <c r="G48" s="194">
        <f>INDEX(Cities!$AL$3:$AW$91,$C$2,4)</f>
        <v>2971.2759664485907</v>
      </c>
      <c r="H48" s="194">
        <f>INDEX(Cities!$AL$3:$AW$91,$C$2,5)</f>
        <v>2704.0057931488755</v>
      </c>
      <c r="I48" s="194">
        <f>INDEX(Cities!$AL$3:$AW$91,$C$2,6)</f>
        <v>2599.4068884916996</v>
      </c>
      <c r="J48" s="194">
        <f>INDEX(Cities!$AL$3:$AW$91,$C$2,7)</f>
        <v>2803.6750956541755</v>
      </c>
      <c r="K48" s="194">
        <f>INDEX(Cities!$AL$3:$AW$91,$C$2,8)</f>
        <v>3085.0663671944226</v>
      </c>
      <c r="L48" s="194">
        <f>INDEX(Cities!$AL$3:$AW$91,$C$2,9)</f>
        <v>3407.8400744110631</v>
      </c>
      <c r="M48" s="194">
        <f>INDEX(Cities!$AL$3:$AW$91,$C$2,10)</f>
        <v>3802.1290085131577</v>
      </c>
      <c r="N48" s="194">
        <f>INDEX(Cities!$AL$3:$AW$91,$C$2,11)</f>
        <v>3700.371954387836</v>
      </c>
      <c r="O48" s="195">
        <f>INDEX(Cities!$AL$3:$AW$91,$C$2,12)</f>
        <v>3633.4884457396033</v>
      </c>
    </row>
    <row r="49" spans="1:16">
      <c r="A49" s="180"/>
      <c r="B49" s="143" t="s">
        <v>86</v>
      </c>
      <c r="C49" s="182" t="s">
        <v>15</v>
      </c>
      <c r="D49" s="193">
        <f>INDEX(Cities!$AW$3:$BI$91,$C$2,1)</f>
        <v>3633.4884457396033</v>
      </c>
      <c r="E49" s="194">
        <f>INDEX(Cities!$AW$3:$BI$91,$C$2,2)</f>
        <v>2820.2669200540731</v>
      </c>
      <c r="F49" s="194">
        <f>INDEX(Cities!$AW$3:$BI$91,$C$2,3)</f>
        <v>3177.7176232464308</v>
      </c>
      <c r="G49" s="194">
        <f>INDEX(Cities!$AW$3:$BI$91,$C$2,4)</f>
        <v>3315.3171581535676</v>
      </c>
      <c r="H49" s="194">
        <f>INDEX(Cities!$AW$3:$BI$91,$C$2,5)</f>
        <v>3385.3886842904831</v>
      </c>
      <c r="I49" s="194">
        <f>INDEX(Cities!$AW$3:$BI$91,$C$2,6)</f>
        <v>3434.4428307573007</v>
      </c>
      <c r="J49" s="194">
        <f>INDEX(Cities!$AW$3:$BI$91,$C$2,7)</f>
        <v>3442.5193458205613</v>
      </c>
      <c r="K49" s="194">
        <f>INDEX(Cities!$AW$3:$BI$91,$C$2,8)</f>
        <v>3740.5786833308293</v>
      </c>
      <c r="L49" s="194">
        <f>INDEX(Cities!$AW$3:$BI$91,$C$2,9)</f>
        <v>3748.6608810965454</v>
      </c>
      <c r="M49" s="194">
        <f>INDEX(Cities!$AW$3:$BI$91,$C$2,10)</f>
        <v>3517.9855295499065</v>
      </c>
      <c r="N49" s="194">
        <f>INDEX(Cities!$AW$3:$BI$91,$C$2,11)</f>
        <v>3320.3683706808783</v>
      </c>
      <c r="O49" s="195">
        <f>INDEX(Cities!$AW$3:$BI$91,$C$2,12)</f>
        <v>2940.2937802394035</v>
      </c>
    </row>
    <row r="50" spans="1:16">
      <c r="A50" s="180"/>
      <c r="B50" s="143" t="s">
        <v>7</v>
      </c>
      <c r="C50" s="182" t="s">
        <v>15</v>
      </c>
      <c r="D50" s="193">
        <f>INDEX(Cities!$BJ$3:$BU$91,$C$2,1)</f>
        <v>1614.9882164504893</v>
      </c>
      <c r="E50" s="194">
        <f>INDEX(Cities!$BJ$3:$BU$91,$C$2,2)</f>
        <v>2155.7866809529323</v>
      </c>
      <c r="F50" s="194">
        <f>INDEX(Cities!$BJ$3:$BU$91,$C$2,3)</f>
        <v>2705.1273301259735</v>
      </c>
      <c r="G50" s="194">
        <f>INDEX(Cities!$BJ$3:$BU$91,$C$2,4)</f>
        <v>3277.4062001598677</v>
      </c>
      <c r="H50" s="194">
        <f>INDEX(Cities!$BJ$3:$BU$91,$C$2,5)</f>
        <v>3782.1982990500937</v>
      </c>
      <c r="I50" s="194">
        <f>INDEX(Cities!$BJ$3:$BU$91,$C$2,6)</f>
        <v>4039.7991352966615</v>
      </c>
      <c r="J50" s="194">
        <f>INDEX(Cities!$BJ$3:$BU$91,$C$2,7)</f>
        <v>4308.3182790025903</v>
      </c>
      <c r="K50" s="194">
        <f>INDEX(Cities!$BJ$3:$BU$91,$C$2,8)</f>
        <v>3840.2899524140698</v>
      </c>
      <c r="L50" s="194">
        <f>INDEX(Cities!$BJ$3:$BU$91,$C$2,9)</f>
        <v>3065.4937047958447</v>
      </c>
      <c r="M50" s="194">
        <f>INDEX(Cities!$BJ$3:$BU$91,$C$2,10)</f>
        <v>2389.5848333394401</v>
      </c>
      <c r="N50" s="194">
        <f>INDEX(Cities!$BJ$3:$BU$91,$C$2,11)</f>
        <v>1760.6233088913568</v>
      </c>
      <c r="O50" s="195">
        <f>INDEX(Cities!$BJ$3:$BU$91,$C$2,12)</f>
        <v>1506.9376924968883</v>
      </c>
    </row>
    <row r="51" spans="1:16">
      <c r="A51" s="180"/>
      <c r="B51" s="143" t="s">
        <v>6</v>
      </c>
      <c r="C51" s="182" t="s">
        <v>15</v>
      </c>
      <c r="D51" s="193">
        <f>INDEX(Cities!$BV$3:$CG$91,$C$2,1)</f>
        <v>585.26248581011748</v>
      </c>
      <c r="E51" s="194">
        <f>INDEX(Cities!$BV$3:$CG$91,$C$2,2)</f>
        <v>820.54885536140819</v>
      </c>
      <c r="F51" s="194">
        <f>INDEX(Cities!$BV$3:$CG$91,$C$2,3)</f>
        <v>1126.729426200453</v>
      </c>
      <c r="G51" s="194">
        <f>INDEX(Cities!$BV$3:$CG$91,$C$2,4)</f>
        <v>1464.3119646230564</v>
      </c>
      <c r="H51" s="194">
        <f>INDEX(Cities!$BV$3:$CG$91,$C$2,5)</f>
        <v>1727.8218769146777</v>
      </c>
      <c r="I51" s="194">
        <f>INDEX(Cities!$BV$3:$CG$91,$C$2,6)</f>
        <v>1844.484788454349</v>
      </c>
      <c r="J51" s="194">
        <f>INDEX(Cities!$BV$3:$CG$91,$C$2,7)</f>
        <v>1801.2230441335726</v>
      </c>
      <c r="K51" s="194">
        <f>INDEX(Cities!$BV$3:$CG$91,$C$2,8)</f>
        <v>1586.8659828071732</v>
      </c>
      <c r="L51" s="194">
        <f>INDEX(Cities!$BV$3:$CG$91,$C$2,9)</f>
        <v>1258.6086521333204</v>
      </c>
      <c r="M51" s="194">
        <f>INDEX(Cities!$BV$3:$CG$91,$C$2,10)</f>
        <v>914.28613241797052</v>
      </c>
      <c r="N51" s="194">
        <f>INDEX(Cities!$BV$3:$CG$91,$C$2,11)</f>
        <v>640.97861115355602</v>
      </c>
      <c r="O51" s="195">
        <f>INDEX(Cities!$BV$3:$CG$91,$C$2,12)</f>
        <v>525.9473642372061</v>
      </c>
    </row>
    <row r="52" spans="1:16">
      <c r="A52" s="196"/>
      <c r="B52" s="143" t="s">
        <v>8</v>
      </c>
      <c r="C52" s="182" t="s">
        <v>15</v>
      </c>
      <c r="D52" s="193">
        <f>INDEX(Cities!$Z$3:$AK$91,$C$2,1)</f>
        <v>2003.2258064516129</v>
      </c>
      <c r="E52" s="194">
        <f>INDEX(Cities!$Z$3:$AK$91,$C$2,2)</f>
        <v>2840.6785714285716</v>
      </c>
      <c r="F52" s="194">
        <f>INDEX(Cities!$Z$3:$AK$91,$C$2,3)</f>
        <v>3812.1612903225805</v>
      </c>
      <c r="G52" s="194">
        <f>INDEX(Cities!$Z$3:$AK$91,$C$2,4)</f>
        <v>4896.5333333333338</v>
      </c>
      <c r="H52" s="194">
        <f>INDEX(Cities!$Z$3:$AK$91,$C$2,5)</f>
        <v>5879.0645161290322</v>
      </c>
      <c r="I52" s="194">
        <f>INDEX(Cities!$Z$3:$AK$91,$C$2,6)</f>
        <v>6392.3</v>
      </c>
      <c r="J52" s="194">
        <f>INDEX(Cities!$Z$3:$AK$91,$C$2,7)</f>
        <v>6733.3870967741932</v>
      </c>
      <c r="K52" s="194">
        <f>INDEX(Cities!$Z$3:$AK$91,$C$2,8)</f>
        <v>5797.7096774193551</v>
      </c>
      <c r="L52" s="194">
        <f>INDEX(Cities!$Z$3:$AK$91,$C$2,9)</f>
        <v>4403.833333333333</v>
      </c>
      <c r="M52" s="194">
        <f>INDEX(Cities!$Z$3:$AK$91,$C$2,10)</f>
        <v>3211.0322580645161</v>
      </c>
      <c r="N52" s="194">
        <f>INDEX(Cities!$Z$3:$AK$91,$C$2,11)</f>
        <v>2217.1999999999998</v>
      </c>
      <c r="O52" s="195">
        <f>INDEX(Cities!$Z$3:$AK$91,$C$2,12)</f>
        <v>1825.0645161290322</v>
      </c>
    </row>
    <row r="53" spans="1:16" ht="15" thickBot="1">
      <c r="A53" s="161"/>
      <c r="B53" s="144" t="s">
        <v>91</v>
      </c>
      <c r="C53" s="197" t="s">
        <v>15</v>
      </c>
      <c r="D53" s="198">
        <f>INDEX(Cities!$AW$3:$BI$91,$C$2,1)</f>
        <v>3633.4884457396033</v>
      </c>
      <c r="E53" s="199">
        <f>INDEX(Cities!$AW$3:$BI$91,$C$2,2)</f>
        <v>2820.2669200540731</v>
      </c>
      <c r="F53" s="199">
        <f>INDEX(Cities!$AW$3:$BI$91,$C$2,3)</f>
        <v>3177.7176232464308</v>
      </c>
      <c r="G53" s="199">
        <f>INDEX(Cities!$AW$3:$BI$91,$C$2,4)</f>
        <v>3315.3171581535676</v>
      </c>
      <c r="H53" s="199">
        <f>INDEX(Cities!$AW$3:$BI$91,$C$2,5)</f>
        <v>3385.3886842904831</v>
      </c>
      <c r="I53" s="199">
        <f>INDEX(Cities!$AW$3:$BI$91,$C$2,6)</f>
        <v>3434.4428307573007</v>
      </c>
      <c r="J53" s="199">
        <f>INDEX(Cities!$AW$3:$BI$91,$C$2,7)</f>
        <v>3442.5193458205613</v>
      </c>
      <c r="K53" s="199">
        <f>INDEX(Cities!$AW$3:$BI$91,$C$2,8)</f>
        <v>3740.5786833308293</v>
      </c>
      <c r="L53" s="199">
        <f>INDEX(Cities!$AW$3:$BI$91,$C$2,9)</f>
        <v>3748.6608810965454</v>
      </c>
      <c r="M53" s="199">
        <f>INDEX(Cities!$AW$3:$BI$91,$C$2,10)</f>
        <v>3517.9855295499065</v>
      </c>
      <c r="N53" s="199">
        <f>INDEX(Cities!$AW$3:$BI$91,$C$2,11)</f>
        <v>3320.3683706808783</v>
      </c>
      <c r="O53" s="200">
        <f>INDEX(Cities!$AW$3:$BI$91,$C$2,12)</f>
        <v>2940.2937802394035</v>
      </c>
    </row>
    <row r="54" spans="1:16">
      <c r="A54" s="265" t="s">
        <v>20</v>
      </c>
      <c r="B54" s="201" t="s">
        <v>179</v>
      </c>
      <c r="C54" s="202" t="s">
        <v>16</v>
      </c>
      <c r="D54" s="203">
        <f>$P$28</f>
        <v>3709.1089999999999</v>
      </c>
      <c r="E54" s="259">
        <f t="shared" ref="E54:O54" si="10">$P$28</f>
        <v>3709.1089999999999</v>
      </c>
      <c r="F54" s="259">
        <f t="shared" si="10"/>
        <v>3709.1089999999999</v>
      </c>
      <c r="G54" s="259">
        <f t="shared" si="10"/>
        <v>3709.1089999999999</v>
      </c>
      <c r="H54" s="259">
        <f t="shared" si="10"/>
        <v>3709.1089999999999</v>
      </c>
      <c r="I54" s="259">
        <f t="shared" si="10"/>
        <v>3709.1089999999999</v>
      </c>
      <c r="J54" s="259">
        <f t="shared" si="10"/>
        <v>3709.1089999999999</v>
      </c>
      <c r="K54" s="259">
        <f t="shared" si="10"/>
        <v>3709.1089999999999</v>
      </c>
      <c r="L54" s="259">
        <f t="shared" si="10"/>
        <v>3709.1089999999999</v>
      </c>
      <c r="M54" s="259">
        <f t="shared" si="10"/>
        <v>3709.1089999999999</v>
      </c>
      <c r="N54" s="259">
        <f t="shared" si="10"/>
        <v>3709.1089999999999</v>
      </c>
      <c r="O54" s="260">
        <f t="shared" si="10"/>
        <v>3709.1089999999999</v>
      </c>
    </row>
    <row r="55" spans="1:16">
      <c r="A55" s="266"/>
      <c r="B55" s="246" t="s">
        <v>218</v>
      </c>
      <c r="C55" s="247" t="s">
        <v>220</v>
      </c>
      <c r="D55" s="193">
        <f>D38*24*$Q$28*(D41-D40)/1000</f>
        <v>5019.6936000000005</v>
      </c>
      <c r="E55" s="194">
        <f t="shared" ref="E55:O55" si="11">E38*24*$Q$28*(E41-E40)/1000</f>
        <v>3989.1264000000001</v>
      </c>
      <c r="F55" s="194">
        <f t="shared" si="11"/>
        <v>3245.1047999999996</v>
      </c>
      <c r="G55" s="194">
        <f t="shared" si="11"/>
        <v>2064.6719999999996</v>
      </c>
      <c r="H55" s="194">
        <f t="shared" si="11"/>
        <v>34.893600000000141</v>
      </c>
      <c r="I55" s="194">
        <f t="shared" si="11"/>
        <v>-1037.1599999999994</v>
      </c>
      <c r="J55" s="194">
        <f t="shared" si="11"/>
        <v>-1375.8048000000008</v>
      </c>
      <c r="K55" s="194">
        <f t="shared" si="11"/>
        <v>-812.52239999999961</v>
      </c>
      <c r="L55" s="194">
        <f t="shared" si="11"/>
        <v>463.10400000000038</v>
      </c>
      <c r="M55" s="194">
        <f t="shared" si="11"/>
        <v>2093.6159999999995</v>
      </c>
      <c r="N55" s="194">
        <f t="shared" si="11"/>
        <v>3564.9360000000006</v>
      </c>
      <c r="O55" s="195">
        <f t="shared" si="11"/>
        <v>4735.5600000000004</v>
      </c>
      <c r="P55" s="110" t="s">
        <v>240</v>
      </c>
    </row>
    <row r="56" spans="1:16">
      <c r="A56" s="266"/>
      <c r="B56" s="204" t="s">
        <v>178</v>
      </c>
      <c r="C56" s="205" t="s">
        <v>16</v>
      </c>
      <c r="D56" s="193">
        <f>$P$28</f>
        <v>3709.1089999999999</v>
      </c>
      <c r="E56" s="194">
        <f t="shared" ref="E56:O56" si="12">$P$28</f>
        <v>3709.1089999999999</v>
      </c>
      <c r="F56" s="194">
        <f t="shared" si="12"/>
        <v>3709.1089999999999</v>
      </c>
      <c r="G56" s="194">
        <f t="shared" si="12"/>
        <v>3709.1089999999999</v>
      </c>
      <c r="H56" s="194">
        <f t="shared" si="12"/>
        <v>3709.1089999999999</v>
      </c>
      <c r="I56" s="194">
        <f t="shared" si="12"/>
        <v>3709.1089999999999</v>
      </c>
      <c r="J56" s="194">
        <f t="shared" si="12"/>
        <v>3709.1089999999999</v>
      </c>
      <c r="K56" s="194">
        <f t="shared" si="12"/>
        <v>3709.1089999999999</v>
      </c>
      <c r="L56" s="194">
        <f t="shared" si="12"/>
        <v>3709.1089999999999</v>
      </c>
      <c r="M56" s="194">
        <f t="shared" si="12"/>
        <v>3709.1089999999999</v>
      </c>
      <c r="N56" s="194">
        <f t="shared" si="12"/>
        <v>3709.1089999999999</v>
      </c>
      <c r="O56" s="195">
        <f t="shared" si="12"/>
        <v>3709.1089999999999</v>
      </c>
    </row>
    <row r="57" spans="1:16">
      <c r="A57" s="266"/>
      <c r="B57" s="246" t="s">
        <v>219</v>
      </c>
      <c r="C57" s="247" t="s">
        <v>220</v>
      </c>
      <c r="D57" s="193">
        <f>D38*24*$Q$28*(D40-D42)/1000</f>
        <v>-8509.0535999999993</v>
      </c>
      <c r="E57" s="194">
        <f t="shared" ref="E57:O57" si="13">E38*24*$Q$28*(E40-E42)/1000</f>
        <v>-7140.8063999999995</v>
      </c>
      <c r="F57" s="194">
        <f t="shared" si="13"/>
        <v>-6734.4647999999997</v>
      </c>
      <c r="G57" s="194">
        <f t="shared" si="13"/>
        <v>-5441.4719999999998</v>
      </c>
      <c r="H57" s="194">
        <f t="shared" si="13"/>
        <v>-3524.2536</v>
      </c>
      <c r="I57" s="194">
        <f t="shared" si="13"/>
        <v>-2339.6400000000003</v>
      </c>
      <c r="J57" s="194">
        <f t="shared" si="13"/>
        <v>-2113.5551999999993</v>
      </c>
      <c r="K57" s="194">
        <f t="shared" si="13"/>
        <v>-2676.8376000000007</v>
      </c>
      <c r="L57" s="194">
        <f t="shared" si="13"/>
        <v>-3839.9040000000005</v>
      </c>
      <c r="M57" s="194">
        <f t="shared" si="13"/>
        <v>-5582.9759999999997</v>
      </c>
      <c r="N57" s="194">
        <f t="shared" si="13"/>
        <v>-6941.7359999999999</v>
      </c>
      <c r="O57" s="195">
        <f t="shared" si="13"/>
        <v>-8224.92</v>
      </c>
      <c r="P57" s="110" t="s">
        <v>241</v>
      </c>
    </row>
    <row r="58" spans="1:16">
      <c r="A58" s="266"/>
      <c r="B58" s="204" t="s">
        <v>150</v>
      </c>
      <c r="C58" s="205" t="s">
        <v>16</v>
      </c>
      <c r="D58" s="193">
        <f t="shared" ref="D58:O58" si="14">$P$31</f>
        <v>726.36750000000018</v>
      </c>
      <c r="E58" s="194">
        <f t="shared" si="14"/>
        <v>726.36750000000018</v>
      </c>
      <c r="F58" s="194">
        <f t="shared" si="14"/>
        <v>726.36750000000018</v>
      </c>
      <c r="G58" s="194">
        <f t="shared" si="14"/>
        <v>726.36750000000018</v>
      </c>
      <c r="H58" s="194">
        <f t="shared" si="14"/>
        <v>726.36750000000018</v>
      </c>
      <c r="I58" s="194">
        <f t="shared" si="14"/>
        <v>726.36750000000018</v>
      </c>
      <c r="J58" s="194">
        <f t="shared" si="14"/>
        <v>726.36750000000018</v>
      </c>
      <c r="K58" s="194">
        <f t="shared" si="14"/>
        <v>726.36750000000018</v>
      </c>
      <c r="L58" s="194">
        <f t="shared" si="14"/>
        <v>726.36750000000018</v>
      </c>
      <c r="M58" s="194">
        <f t="shared" si="14"/>
        <v>726.36750000000018</v>
      </c>
      <c r="N58" s="194">
        <f t="shared" si="14"/>
        <v>726.36750000000018</v>
      </c>
      <c r="O58" s="195">
        <f t="shared" si="14"/>
        <v>726.36750000000018</v>
      </c>
    </row>
    <row r="59" spans="1:16">
      <c r="A59" s="266"/>
      <c r="B59" s="204" t="s">
        <v>149</v>
      </c>
      <c r="C59" s="205" t="s">
        <v>16</v>
      </c>
      <c r="D59" s="193">
        <f t="shared" ref="D59:O59" si="15">$P$32</f>
        <v>4358.2050000000008</v>
      </c>
      <c r="E59" s="194">
        <f t="shared" si="15"/>
        <v>4358.2050000000008</v>
      </c>
      <c r="F59" s="194">
        <f t="shared" si="15"/>
        <v>4358.2050000000008</v>
      </c>
      <c r="G59" s="194">
        <f t="shared" si="15"/>
        <v>4358.2050000000008</v>
      </c>
      <c r="H59" s="194">
        <f t="shared" si="15"/>
        <v>4358.2050000000008</v>
      </c>
      <c r="I59" s="194">
        <f t="shared" si="15"/>
        <v>4358.2050000000008</v>
      </c>
      <c r="J59" s="194">
        <f t="shared" si="15"/>
        <v>4358.2050000000008</v>
      </c>
      <c r="K59" s="194">
        <f t="shared" si="15"/>
        <v>4358.2050000000008</v>
      </c>
      <c r="L59" s="194">
        <f t="shared" si="15"/>
        <v>4358.2050000000008</v>
      </c>
      <c r="M59" s="194">
        <f t="shared" si="15"/>
        <v>4358.2050000000008</v>
      </c>
      <c r="N59" s="194">
        <f t="shared" si="15"/>
        <v>4358.2050000000008</v>
      </c>
      <c r="O59" s="195">
        <f t="shared" si="15"/>
        <v>4358.2050000000008</v>
      </c>
    </row>
    <row r="60" spans="1:16">
      <c r="A60" s="266"/>
      <c r="B60" s="204" t="s">
        <v>66</v>
      </c>
      <c r="C60" s="205" t="s">
        <v>4</v>
      </c>
      <c r="D60" s="193">
        <f>$J$35</f>
        <v>0</v>
      </c>
      <c r="E60" s="194">
        <f t="shared" ref="E60:O60" si="16">$J$35</f>
        <v>0</v>
      </c>
      <c r="F60" s="194">
        <f t="shared" si="16"/>
        <v>0</v>
      </c>
      <c r="G60" s="194">
        <f t="shared" si="16"/>
        <v>0</v>
      </c>
      <c r="H60" s="194">
        <f t="shared" si="16"/>
        <v>0</v>
      </c>
      <c r="I60" s="194">
        <f t="shared" si="16"/>
        <v>0</v>
      </c>
      <c r="J60" s="194">
        <f t="shared" si="16"/>
        <v>0</v>
      </c>
      <c r="K60" s="194">
        <f t="shared" si="16"/>
        <v>0</v>
      </c>
      <c r="L60" s="194">
        <f t="shared" si="16"/>
        <v>0</v>
      </c>
      <c r="M60" s="194">
        <f t="shared" si="16"/>
        <v>0</v>
      </c>
      <c r="N60" s="194">
        <f t="shared" si="16"/>
        <v>0</v>
      </c>
      <c r="O60" s="195">
        <f t="shared" si="16"/>
        <v>0</v>
      </c>
    </row>
    <row r="61" spans="1:16">
      <c r="A61" s="266"/>
      <c r="B61" s="204" t="s">
        <v>68</v>
      </c>
      <c r="C61" s="205" t="s">
        <v>4</v>
      </c>
      <c r="D61" s="206">
        <f>$D$35</f>
        <v>0.96074999999999999</v>
      </c>
      <c r="E61" s="207">
        <f t="shared" ref="E61:O61" si="17">$D$35</f>
        <v>0.96074999999999999</v>
      </c>
      <c r="F61" s="207">
        <f t="shared" si="17"/>
        <v>0.96074999999999999</v>
      </c>
      <c r="G61" s="207">
        <f t="shared" si="17"/>
        <v>0.96074999999999999</v>
      </c>
      <c r="H61" s="207">
        <f t="shared" si="17"/>
        <v>0.96074999999999999</v>
      </c>
      <c r="I61" s="207">
        <f t="shared" si="17"/>
        <v>0.96074999999999999</v>
      </c>
      <c r="J61" s="207">
        <f t="shared" si="17"/>
        <v>0.96074999999999999</v>
      </c>
      <c r="K61" s="207">
        <f t="shared" si="17"/>
        <v>0.96074999999999999</v>
      </c>
      <c r="L61" s="207">
        <f t="shared" si="17"/>
        <v>0.96074999999999999</v>
      </c>
      <c r="M61" s="207">
        <f t="shared" si="17"/>
        <v>0.96074999999999999</v>
      </c>
      <c r="N61" s="207">
        <f t="shared" si="17"/>
        <v>0.96074999999999999</v>
      </c>
      <c r="O61" s="208">
        <f t="shared" si="17"/>
        <v>0.96074999999999999</v>
      </c>
    </row>
    <row r="62" spans="1:16">
      <c r="A62" s="266"/>
      <c r="B62" s="204" t="s">
        <v>87</v>
      </c>
      <c r="C62" s="205" t="s">
        <v>4</v>
      </c>
      <c r="D62" s="206">
        <f>$E$35</f>
        <v>0</v>
      </c>
      <c r="E62" s="207">
        <f t="shared" ref="E62:O62" si="18">$E$35</f>
        <v>0</v>
      </c>
      <c r="F62" s="207">
        <f t="shared" si="18"/>
        <v>0</v>
      </c>
      <c r="G62" s="207">
        <f t="shared" si="18"/>
        <v>0</v>
      </c>
      <c r="H62" s="207">
        <f t="shared" si="18"/>
        <v>0</v>
      </c>
      <c r="I62" s="207">
        <f t="shared" si="18"/>
        <v>0</v>
      </c>
      <c r="J62" s="207">
        <f t="shared" si="18"/>
        <v>0</v>
      </c>
      <c r="K62" s="207">
        <f t="shared" si="18"/>
        <v>0</v>
      </c>
      <c r="L62" s="207">
        <f t="shared" si="18"/>
        <v>0</v>
      </c>
      <c r="M62" s="207">
        <f t="shared" si="18"/>
        <v>0</v>
      </c>
      <c r="N62" s="207">
        <f t="shared" si="18"/>
        <v>0</v>
      </c>
      <c r="O62" s="208">
        <f t="shared" si="18"/>
        <v>0</v>
      </c>
    </row>
    <row r="63" spans="1:16">
      <c r="A63" s="266"/>
      <c r="B63" s="204" t="s">
        <v>69</v>
      </c>
      <c r="C63" s="205" t="s">
        <v>4</v>
      </c>
      <c r="D63" s="206">
        <f>$F$35</f>
        <v>16.84515</v>
      </c>
      <c r="E63" s="207">
        <f t="shared" ref="E63:O63" si="19">$F$35</f>
        <v>16.84515</v>
      </c>
      <c r="F63" s="207">
        <f t="shared" si="19"/>
        <v>16.84515</v>
      </c>
      <c r="G63" s="207">
        <f t="shared" si="19"/>
        <v>16.84515</v>
      </c>
      <c r="H63" s="207">
        <f t="shared" si="19"/>
        <v>16.84515</v>
      </c>
      <c r="I63" s="207">
        <f t="shared" si="19"/>
        <v>16.84515</v>
      </c>
      <c r="J63" s="207">
        <f t="shared" si="19"/>
        <v>16.84515</v>
      </c>
      <c r="K63" s="207">
        <f t="shared" si="19"/>
        <v>16.84515</v>
      </c>
      <c r="L63" s="207">
        <f t="shared" si="19"/>
        <v>16.84515</v>
      </c>
      <c r="M63" s="207">
        <f t="shared" si="19"/>
        <v>16.84515</v>
      </c>
      <c r="N63" s="207">
        <f t="shared" si="19"/>
        <v>16.84515</v>
      </c>
      <c r="O63" s="208">
        <f t="shared" si="19"/>
        <v>16.84515</v>
      </c>
    </row>
    <row r="64" spans="1:16">
      <c r="A64" s="266"/>
      <c r="B64" s="204" t="s">
        <v>70</v>
      </c>
      <c r="C64" s="205" t="s">
        <v>4</v>
      </c>
      <c r="D64" s="206">
        <f>$G$35</f>
        <v>24.659249999999997</v>
      </c>
      <c r="E64" s="207">
        <f t="shared" ref="E64:O64" si="20">$G$35</f>
        <v>24.659249999999997</v>
      </c>
      <c r="F64" s="207">
        <f t="shared" si="20"/>
        <v>24.659249999999997</v>
      </c>
      <c r="G64" s="207">
        <f t="shared" si="20"/>
        <v>24.659249999999997</v>
      </c>
      <c r="H64" s="207">
        <f t="shared" si="20"/>
        <v>24.659249999999997</v>
      </c>
      <c r="I64" s="207">
        <f t="shared" si="20"/>
        <v>24.659249999999997</v>
      </c>
      <c r="J64" s="207">
        <f t="shared" si="20"/>
        <v>24.659249999999997</v>
      </c>
      <c r="K64" s="207">
        <f t="shared" si="20"/>
        <v>24.659249999999997</v>
      </c>
      <c r="L64" s="207">
        <f t="shared" si="20"/>
        <v>24.659249999999997</v>
      </c>
      <c r="M64" s="207">
        <f t="shared" si="20"/>
        <v>24.659249999999997</v>
      </c>
      <c r="N64" s="207">
        <f t="shared" si="20"/>
        <v>24.659249999999997</v>
      </c>
      <c r="O64" s="208">
        <f t="shared" si="20"/>
        <v>24.659249999999997</v>
      </c>
    </row>
    <row r="65" spans="1:16">
      <c r="A65" s="266"/>
      <c r="B65" s="204" t="s">
        <v>71</v>
      </c>
      <c r="C65" s="205" t="s">
        <v>4</v>
      </c>
      <c r="D65" s="206">
        <f>$H$35</f>
        <v>16.84515</v>
      </c>
      <c r="E65" s="207">
        <f t="shared" ref="E65:O65" si="21">$H$35</f>
        <v>16.84515</v>
      </c>
      <c r="F65" s="207">
        <f t="shared" si="21"/>
        <v>16.84515</v>
      </c>
      <c r="G65" s="207">
        <f t="shared" si="21"/>
        <v>16.84515</v>
      </c>
      <c r="H65" s="207">
        <f t="shared" si="21"/>
        <v>16.84515</v>
      </c>
      <c r="I65" s="207">
        <f t="shared" si="21"/>
        <v>16.84515</v>
      </c>
      <c r="J65" s="207">
        <f t="shared" si="21"/>
        <v>16.84515</v>
      </c>
      <c r="K65" s="207">
        <f t="shared" si="21"/>
        <v>16.84515</v>
      </c>
      <c r="L65" s="207">
        <f t="shared" si="21"/>
        <v>16.84515</v>
      </c>
      <c r="M65" s="207">
        <f t="shared" si="21"/>
        <v>16.84515</v>
      </c>
      <c r="N65" s="207">
        <f t="shared" si="21"/>
        <v>16.84515</v>
      </c>
      <c r="O65" s="208">
        <f t="shared" si="21"/>
        <v>16.84515</v>
      </c>
    </row>
    <row r="66" spans="1:16">
      <c r="A66" s="266"/>
      <c r="B66" s="204" t="s">
        <v>92</v>
      </c>
      <c r="C66" s="205" t="s">
        <v>4</v>
      </c>
      <c r="D66" s="206">
        <f>$I$35</f>
        <v>0</v>
      </c>
      <c r="E66" s="207">
        <f t="shared" ref="E66:O66" si="22">$I$35</f>
        <v>0</v>
      </c>
      <c r="F66" s="207">
        <f t="shared" si="22"/>
        <v>0</v>
      </c>
      <c r="G66" s="207">
        <f t="shared" si="22"/>
        <v>0</v>
      </c>
      <c r="H66" s="207">
        <f t="shared" si="22"/>
        <v>0</v>
      </c>
      <c r="I66" s="207">
        <f t="shared" si="22"/>
        <v>0</v>
      </c>
      <c r="J66" s="207">
        <f t="shared" si="22"/>
        <v>0</v>
      </c>
      <c r="K66" s="207">
        <f t="shared" si="22"/>
        <v>0</v>
      </c>
      <c r="L66" s="207">
        <f t="shared" si="22"/>
        <v>0</v>
      </c>
      <c r="M66" s="207">
        <f t="shared" si="22"/>
        <v>0</v>
      </c>
      <c r="N66" s="207">
        <f t="shared" si="22"/>
        <v>0</v>
      </c>
      <c r="O66" s="208">
        <f t="shared" si="22"/>
        <v>0</v>
      </c>
    </row>
    <row r="67" spans="1:16">
      <c r="A67" s="266"/>
      <c r="B67" s="204" t="s">
        <v>67</v>
      </c>
      <c r="C67" s="205" t="s">
        <v>4</v>
      </c>
      <c r="D67" s="206">
        <f>$J$36</f>
        <v>30.195</v>
      </c>
      <c r="E67" s="207">
        <f t="shared" ref="E67:O67" si="23">$J$36</f>
        <v>30.195</v>
      </c>
      <c r="F67" s="207">
        <f t="shared" si="23"/>
        <v>30.195</v>
      </c>
      <c r="G67" s="207">
        <f t="shared" si="23"/>
        <v>30.195</v>
      </c>
      <c r="H67" s="207">
        <f t="shared" si="23"/>
        <v>30.195</v>
      </c>
      <c r="I67" s="207">
        <f t="shared" si="23"/>
        <v>30.195</v>
      </c>
      <c r="J67" s="207">
        <f t="shared" si="23"/>
        <v>30.195</v>
      </c>
      <c r="K67" s="207">
        <f t="shared" si="23"/>
        <v>30.195</v>
      </c>
      <c r="L67" s="207">
        <f t="shared" si="23"/>
        <v>30.195</v>
      </c>
      <c r="M67" s="207">
        <f t="shared" si="23"/>
        <v>30.195</v>
      </c>
      <c r="N67" s="207">
        <f t="shared" si="23"/>
        <v>30.195</v>
      </c>
      <c r="O67" s="208">
        <f t="shared" si="23"/>
        <v>30.195</v>
      </c>
    </row>
    <row r="68" spans="1:16">
      <c r="A68" s="266"/>
      <c r="B68" s="204" t="s">
        <v>72</v>
      </c>
      <c r="C68" s="205" t="s">
        <v>4</v>
      </c>
      <c r="D68" s="206">
        <f>$D$36</f>
        <v>7.2200249999999997</v>
      </c>
      <c r="E68" s="207">
        <f t="shared" ref="E68:O68" si="24">$D$36</f>
        <v>7.2200249999999997</v>
      </c>
      <c r="F68" s="207">
        <f t="shared" si="24"/>
        <v>7.2200249999999997</v>
      </c>
      <c r="G68" s="207">
        <f t="shared" si="24"/>
        <v>7.2200249999999997</v>
      </c>
      <c r="H68" s="207">
        <f t="shared" si="24"/>
        <v>7.2200249999999997</v>
      </c>
      <c r="I68" s="207">
        <f t="shared" si="24"/>
        <v>7.2200249999999997</v>
      </c>
      <c r="J68" s="207">
        <f t="shared" si="24"/>
        <v>7.2200249999999997</v>
      </c>
      <c r="K68" s="207">
        <f t="shared" si="24"/>
        <v>7.2200249999999997</v>
      </c>
      <c r="L68" s="207">
        <f t="shared" si="24"/>
        <v>7.2200249999999997</v>
      </c>
      <c r="M68" s="207">
        <f t="shared" si="24"/>
        <v>7.2200249999999997</v>
      </c>
      <c r="N68" s="207">
        <f t="shared" si="24"/>
        <v>7.2200249999999997</v>
      </c>
      <c r="O68" s="208">
        <f t="shared" si="24"/>
        <v>7.2200249999999997</v>
      </c>
    </row>
    <row r="69" spans="1:16">
      <c r="A69" s="266"/>
      <c r="B69" s="204" t="s">
        <v>88</v>
      </c>
      <c r="C69" s="205" t="s">
        <v>4</v>
      </c>
      <c r="D69" s="206">
        <f>$E$36</f>
        <v>0</v>
      </c>
      <c r="E69" s="207">
        <f t="shared" ref="E69:O69" si="25">$E$36</f>
        <v>0</v>
      </c>
      <c r="F69" s="207">
        <f t="shared" si="25"/>
        <v>0</v>
      </c>
      <c r="G69" s="207">
        <f t="shared" si="25"/>
        <v>0</v>
      </c>
      <c r="H69" s="207">
        <f t="shared" si="25"/>
        <v>0</v>
      </c>
      <c r="I69" s="207">
        <f t="shared" si="25"/>
        <v>0</v>
      </c>
      <c r="J69" s="207">
        <f t="shared" si="25"/>
        <v>0</v>
      </c>
      <c r="K69" s="207">
        <f t="shared" si="25"/>
        <v>0</v>
      </c>
      <c r="L69" s="207">
        <f t="shared" si="25"/>
        <v>0</v>
      </c>
      <c r="M69" s="207">
        <f t="shared" si="25"/>
        <v>0</v>
      </c>
      <c r="N69" s="207">
        <f t="shared" si="25"/>
        <v>0</v>
      </c>
      <c r="O69" s="208">
        <f t="shared" si="25"/>
        <v>0</v>
      </c>
    </row>
    <row r="70" spans="1:16">
      <c r="A70" s="266"/>
      <c r="B70" s="204" t="s">
        <v>73</v>
      </c>
      <c r="C70" s="205" t="s">
        <v>4</v>
      </c>
      <c r="D70" s="206">
        <f>$F$36</f>
        <v>43.746105</v>
      </c>
      <c r="E70" s="207">
        <f t="shared" ref="E70:O70" si="26">$F$36</f>
        <v>43.746105</v>
      </c>
      <c r="F70" s="207">
        <f t="shared" si="26"/>
        <v>43.746105</v>
      </c>
      <c r="G70" s="207">
        <f t="shared" si="26"/>
        <v>43.746105</v>
      </c>
      <c r="H70" s="207">
        <f t="shared" si="26"/>
        <v>43.746105</v>
      </c>
      <c r="I70" s="207">
        <f t="shared" si="26"/>
        <v>43.746105</v>
      </c>
      <c r="J70" s="207">
        <f t="shared" si="26"/>
        <v>43.746105</v>
      </c>
      <c r="K70" s="207">
        <f t="shared" si="26"/>
        <v>43.746105</v>
      </c>
      <c r="L70" s="207">
        <f t="shared" si="26"/>
        <v>43.746105</v>
      </c>
      <c r="M70" s="207">
        <f t="shared" si="26"/>
        <v>43.746105</v>
      </c>
      <c r="N70" s="207">
        <f t="shared" si="26"/>
        <v>43.746105</v>
      </c>
      <c r="O70" s="208">
        <f t="shared" si="26"/>
        <v>43.746105</v>
      </c>
    </row>
    <row r="71" spans="1:16">
      <c r="A71" s="266"/>
      <c r="B71" s="204" t="s">
        <v>74</v>
      </c>
      <c r="C71" s="205" t="s">
        <v>4</v>
      </c>
      <c r="D71" s="206">
        <f>$G$36</f>
        <v>32.853974999999998</v>
      </c>
      <c r="E71" s="207">
        <f t="shared" ref="E71:O71" si="27">$G$36</f>
        <v>32.853974999999998</v>
      </c>
      <c r="F71" s="207">
        <f t="shared" si="27"/>
        <v>32.853974999999998</v>
      </c>
      <c r="G71" s="207">
        <f t="shared" si="27"/>
        <v>32.853974999999998</v>
      </c>
      <c r="H71" s="207">
        <f t="shared" si="27"/>
        <v>32.853974999999998</v>
      </c>
      <c r="I71" s="207">
        <f t="shared" si="27"/>
        <v>32.853974999999998</v>
      </c>
      <c r="J71" s="207">
        <f t="shared" si="27"/>
        <v>32.853974999999998</v>
      </c>
      <c r="K71" s="207">
        <f t="shared" si="27"/>
        <v>32.853974999999998</v>
      </c>
      <c r="L71" s="207">
        <f t="shared" si="27"/>
        <v>32.853974999999998</v>
      </c>
      <c r="M71" s="207">
        <f t="shared" si="27"/>
        <v>32.853974999999998</v>
      </c>
      <c r="N71" s="207">
        <f t="shared" si="27"/>
        <v>32.853974999999998</v>
      </c>
      <c r="O71" s="208">
        <f t="shared" si="27"/>
        <v>32.853974999999998</v>
      </c>
    </row>
    <row r="72" spans="1:16">
      <c r="A72" s="266"/>
      <c r="B72" s="204" t="s">
        <v>75</v>
      </c>
      <c r="C72" s="205" t="s">
        <v>4</v>
      </c>
      <c r="D72" s="206">
        <f>$H$36</f>
        <v>43.746105</v>
      </c>
      <c r="E72" s="207">
        <f t="shared" ref="E72:O72" si="28">$H$36</f>
        <v>43.746105</v>
      </c>
      <c r="F72" s="207">
        <f t="shared" si="28"/>
        <v>43.746105</v>
      </c>
      <c r="G72" s="207">
        <f t="shared" si="28"/>
        <v>43.746105</v>
      </c>
      <c r="H72" s="207">
        <f t="shared" si="28"/>
        <v>43.746105</v>
      </c>
      <c r="I72" s="207">
        <f t="shared" si="28"/>
        <v>43.746105</v>
      </c>
      <c r="J72" s="207">
        <f t="shared" si="28"/>
        <v>43.746105</v>
      </c>
      <c r="K72" s="207">
        <f t="shared" si="28"/>
        <v>43.746105</v>
      </c>
      <c r="L72" s="207">
        <f t="shared" si="28"/>
        <v>43.746105</v>
      </c>
      <c r="M72" s="207">
        <f t="shared" si="28"/>
        <v>43.746105</v>
      </c>
      <c r="N72" s="207">
        <f t="shared" si="28"/>
        <v>43.746105</v>
      </c>
      <c r="O72" s="208">
        <f t="shared" si="28"/>
        <v>43.746105</v>
      </c>
    </row>
    <row r="73" spans="1:16">
      <c r="A73" s="266"/>
      <c r="B73" s="204" t="s">
        <v>93</v>
      </c>
      <c r="C73" s="205" t="s">
        <v>4</v>
      </c>
      <c r="D73" s="206">
        <f>$I$36</f>
        <v>0</v>
      </c>
      <c r="E73" s="207">
        <f t="shared" ref="E73:O73" si="29">$I$36</f>
        <v>0</v>
      </c>
      <c r="F73" s="207">
        <f t="shared" si="29"/>
        <v>0</v>
      </c>
      <c r="G73" s="207">
        <f t="shared" si="29"/>
        <v>0</v>
      </c>
      <c r="H73" s="207">
        <f t="shared" si="29"/>
        <v>0</v>
      </c>
      <c r="I73" s="207">
        <f t="shared" si="29"/>
        <v>0</v>
      </c>
      <c r="J73" s="207">
        <f t="shared" si="29"/>
        <v>0</v>
      </c>
      <c r="K73" s="207">
        <f t="shared" si="29"/>
        <v>0</v>
      </c>
      <c r="L73" s="207">
        <f t="shared" si="29"/>
        <v>0</v>
      </c>
      <c r="M73" s="207">
        <f t="shared" si="29"/>
        <v>0</v>
      </c>
      <c r="N73" s="207">
        <f t="shared" si="29"/>
        <v>0</v>
      </c>
      <c r="O73" s="208">
        <f t="shared" si="29"/>
        <v>0</v>
      </c>
    </row>
    <row r="74" spans="1:16">
      <c r="A74" s="266"/>
      <c r="B74" s="204" t="s">
        <v>2</v>
      </c>
      <c r="C74" s="205" t="s">
        <v>3</v>
      </c>
      <c r="D74" s="190">
        <f>$D$10*$D$3</f>
        <v>3165</v>
      </c>
      <c r="E74" s="191">
        <f t="shared" ref="E74:O74" si="30">$D$10*$D$3</f>
        <v>3165</v>
      </c>
      <c r="F74" s="191">
        <f t="shared" si="30"/>
        <v>3165</v>
      </c>
      <c r="G74" s="191">
        <f t="shared" si="30"/>
        <v>3165</v>
      </c>
      <c r="H74" s="191">
        <f t="shared" si="30"/>
        <v>3165</v>
      </c>
      <c r="I74" s="191">
        <f t="shared" si="30"/>
        <v>3165</v>
      </c>
      <c r="J74" s="191">
        <f t="shared" si="30"/>
        <v>3165</v>
      </c>
      <c r="K74" s="191">
        <f t="shared" si="30"/>
        <v>3165</v>
      </c>
      <c r="L74" s="191">
        <f t="shared" si="30"/>
        <v>3165</v>
      </c>
      <c r="M74" s="191">
        <f t="shared" si="30"/>
        <v>3165</v>
      </c>
      <c r="N74" s="191">
        <f t="shared" si="30"/>
        <v>3165</v>
      </c>
      <c r="O74" s="192">
        <f t="shared" si="30"/>
        <v>3165</v>
      </c>
    </row>
    <row r="75" spans="1:16" ht="15" thickBot="1">
      <c r="A75" s="267"/>
      <c r="B75" s="212" t="s">
        <v>9</v>
      </c>
      <c r="C75" s="264" t="s">
        <v>17</v>
      </c>
      <c r="D75" s="261">
        <f>$D$3*$D$4</f>
        <v>474750</v>
      </c>
      <c r="E75" s="262">
        <f t="shared" ref="E75:O75" si="31">$D$3*$D$4</f>
        <v>474750</v>
      </c>
      <c r="F75" s="262">
        <f t="shared" si="31"/>
        <v>474750</v>
      </c>
      <c r="G75" s="262">
        <f t="shared" si="31"/>
        <v>474750</v>
      </c>
      <c r="H75" s="262">
        <f t="shared" si="31"/>
        <v>474750</v>
      </c>
      <c r="I75" s="262">
        <f t="shared" si="31"/>
        <v>474750</v>
      </c>
      <c r="J75" s="262">
        <f t="shared" si="31"/>
        <v>474750</v>
      </c>
      <c r="K75" s="262">
        <f t="shared" si="31"/>
        <v>474750</v>
      </c>
      <c r="L75" s="262">
        <f t="shared" si="31"/>
        <v>474750</v>
      </c>
      <c r="M75" s="262">
        <f t="shared" si="31"/>
        <v>474750</v>
      </c>
      <c r="N75" s="262">
        <f t="shared" si="31"/>
        <v>474750</v>
      </c>
      <c r="O75" s="263">
        <f t="shared" si="31"/>
        <v>474750</v>
      </c>
    </row>
    <row r="76" spans="1:16" ht="15">
      <c r="A76" s="251" t="s">
        <v>230</v>
      </c>
      <c r="B76" s="167" t="s">
        <v>62</v>
      </c>
      <c r="C76" s="167" t="s">
        <v>221</v>
      </c>
      <c r="D76" s="255">
        <f>IF(D55&lt;0,0,D55)+(D$54+D$58)*D43/1000</f>
        <v>38678.750567900039</v>
      </c>
      <c r="E76" s="255">
        <f t="shared" ref="E76:O76" si="32">IF(E55&lt;0,0,E55)+(E$54+E$58)*E43/1000</f>
        <v>32170.369890399998</v>
      </c>
      <c r="F76" s="255">
        <f t="shared" si="32"/>
        <v>29513.770823599978</v>
      </c>
      <c r="G76" s="255">
        <f t="shared" si="32"/>
        <v>21937.824458250027</v>
      </c>
      <c r="H76" s="255">
        <f t="shared" si="32"/>
        <v>11387.052154099991</v>
      </c>
      <c r="I76" s="255">
        <f t="shared" si="32"/>
        <v>3364.752472900002</v>
      </c>
      <c r="J76" s="255">
        <f t="shared" si="32"/>
        <v>350.40264350000012</v>
      </c>
      <c r="K76" s="255">
        <f t="shared" si="32"/>
        <v>217.78189615000016</v>
      </c>
      <c r="L76" s="255">
        <f t="shared" si="32"/>
        <v>2503.8667376499998</v>
      </c>
      <c r="M76" s="255">
        <f t="shared" si="32"/>
        <v>10758.319342749999</v>
      </c>
      <c r="N76" s="255">
        <f t="shared" si="32"/>
        <v>24475.10286395</v>
      </c>
      <c r="O76" s="255">
        <f t="shared" si="32"/>
        <v>35674.339230449994</v>
      </c>
      <c r="P76" s="110" t="s">
        <v>224</v>
      </c>
    </row>
    <row r="77" spans="1:16" ht="15">
      <c r="A77" s="251" t="s">
        <v>239</v>
      </c>
      <c r="B77" s="164" t="s">
        <v>170</v>
      </c>
      <c r="C77" s="164" t="s">
        <v>222</v>
      </c>
      <c r="D77" s="254">
        <f>IF(D55&lt;0,-D55,0)+(D$54+D$58)*D44/1000</f>
        <v>8.8709530000000001</v>
      </c>
      <c r="E77" s="254">
        <f t="shared" ref="E77:O77" si="33">IF(E55&lt;0,-E55,0)+(E$54+E$58)*E44/1000</f>
        <v>10.645143599999994</v>
      </c>
      <c r="F77" s="254">
        <f t="shared" si="33"/>
        <v>42.580574399999975</v>
      </c>
      <c r="G77" s="254">
        <f t="shared" si="33"/>
        <v>239.95927865000004</v>
      </c>
      <c r="H77" s="254">
        <f t="shared" si="33"/>
        <v>1288.9494708999989</v>
      </c>
      <c r="I77" s="254">
        <f t="shared" si="33"/>
        <v>6653.3603443000047</v>
      </c>
      <c r="J77" s="254">
        <f t="shared" si="33"/>
        <v>14474.210452149968</v>
      </c>
      <c r="K77" s="254">
        <f t="shared" si="33"/>
        <v>14265.322624499988</v>
      </c>
      <c r="L77" s="254">
        <f t="shared" si="33"/>
        <v>8595.0663617000046</v>
      </c>
      <c r="M77" s="254">
        <f t="shared" si="33"/>
        <v>2378.3024992999985</v>
      </c>
      <c r="N77" s="254">
        <f t="shared" si="33"/>
        <v>76.29019579999995</v>
      </c>
      <c r="O77" s="254">
        <f t="shared" si="33"/>
        <v>62.54021865</v>
      </c>
      <c r="P77" s="110" t="s">
        <v>223</v>
      </c>
    </row>
    <row r="78" spans="1:16" ht="15">
      <c r="A78" s="251" t="s">
        <v>231</v>
      </c>
      <c r="B78" s="169" t="s">
        <v>63</v>
      </c>
      <c r="C78" s="169" t="s">
        <v>225</v>
      </c>
      <c r="D78" s="256">
        <f>IF(D57&lt;0,-D57,0)+(D$56+D$59)*D46/1000</f>
        <v>111727.10930440009</v>
      </c>
      <c r="E78" s="256">
        <f t="shared" ref="E78:O78" si="34">IF(E57&lt;0,-E57,0)+(E$56+E$59)*E46/1000</f>
        <v>96326.57613280011</v>
      </c>
      <c r="F78" s="256">
        <f t="shared" si="34"/>
        <v>96449.450331200045</v>
      </c>
      <c r="G78" s="256">
        <f t="shared" si="34"/>
        <v>81809.893249599932</v>
      </c>
      <c r="H78" s="256">
        <f t="shared" si="34"/>
        <v>63841.94691519998</v>
      </c>
      <c r="I78" s="256">
        <f t="shared" si="34"/>
        <v>39086.255270000023</v>
      </c>
      <c r="J78" s="256">
        <f t="shared" si="34"/>
        <v>22974.822472600059</v>
      </c>
      <c r="K78" s="256">
        <f t="shared" si="34"/>
        <v>23047.612181400014</v>
      </c>
      <c r="L78" s="256">
        <f t="shared" si="34"/>
        <v>33668.797515000049</v>
      </c>
      <c r="M78" s="256">
        <f t="shared" si="34"/>
        <v>59039.418758200016</v>
      </c>
      <c r="N78" s="256">
        <f t="shared" si="34"/>
        <v>85493.979149400184</v>
      </c>
      <c r="O78" s="256">
        <f t="shared" si="34"/>
        <v>106397.67752880002</v>
      </c>
      <c r="P78" s="110" t="s">
        <v>224</v>
      </c>
    </row>
    <row r="79" spans="1:16" ht="15">
      <c r="A79" s="257" t="s">
        <v>232</v>
      </c>
      <c r="B79" s="169" t="s">
        <v>171</v>
      </c>
      <c r="C79" s="169" t="s">
        <v>226</v>
      </c>
      <c r="D79" s="253">
        <f>IF(D57&lt;0,0,-D57)+(D$56+D$58)*D45/1000</f>
        <v>0</v>
      </c>
      <c r="E79" s="253">
        <f t="shared" ref="E79:O79" si="35">IF(E57&lt;0,0,-E57)+(E$56+E$58)*E45/1000</f>
        <v>0</v>
      </c>
      <c r="F79" s="253">
        <f t="shared" si="35"/>
        <v>0</v>
      </c>
      <c r="G79" s="253">
        <f t="shared" si="35"/>
        <v>0</v>
      </c>
      <c r="H79" s="253">
        <f t="shared" si="35"/>
        <v>0</v>
      </c>
      <c r="I79" s="253">
        <f t="shared" si="35"/>
        <v>100.2417689</v>
      </c>
      <c r="J79" s="253">
        <f t="shared" si="35"/>
        <v>1117.740078</v>
      </c>
      <c r="K79" s="253">
        <f t="shared" si="35"/>
        <v>1335.0784265000007</v>
      </c>
      <c r="L79" s="253">
        <f t="shared" si="35"/>
        <v>599.67642280000007</v>
      </c>
      <c r="M79" s="253">
        <f t="shared" si="35"/>
        <v>4.4354765000000151</v>
      </c>
      <c r="N79" s="253">
        <f t="shared" si="35"/>
        <v>0</v>
      </c>
      <c r="O79" s="253">
        <f t="shared" si="35"/>
        <v>0</v>
      </c>
      <c r="P79" s="110" t="s">
        <v>223</v>
      </c>
    </row>
    <row r="80" spans="1:16" ht="15">
      <c r="A80" s="251" t="s">
        <v>213</v>
      </c>
      <c r="B80" s="169" t="s">
        <v>0</v>
      </c>
      <c r="C80" s="169" t="s">
        <v>12</v>
      </c>
      <c r="D80" s="253">
        <f t="shared" ref="D80:O80" si="36">D74*24*D38/1000</f>
        <v>2354.7600000000002</v>
      </c>
      <c r="E80" s="253">
        <f t="shared" si="36"/>
        <v>2126.88</v>
      </c>
      <c r="F80" s="253">
        <f t="shared" si="36"/>
        <v>2354.7600000000002</v>
      </c>
      <c r="G80" s="253">
        <f t="shared" si="36"/>
        <v>2278.8000000000002</v>
      </c>
      <c r="H80" s="253">
        <f t="shared" si="36"/>
        <v>2354.7600000000002</v>
      </c>
      <c r="I80" s="253">
        <f t="shared" si="36"/>
        <v>2278.8000000000002</v>
      </c>
      <c r="J80" s="253">
        <f t="shared" si="36"/>
        <v>2354.7600000000002</v>
      </c>
      <c r="K80" s="253">
        <f t="shared" si="36"/>
        <v>2354.7600000000002</v>
      </c>
      <c r="L80" s="253">
        <f t="shared" si="36"/>
        <v>2278.8000000000002</v>
      </c>
      <c r="M80" s="253">
        <f t="shared" si="36"/>
        <v>2354.7600000000002</v>
      </c>
      <c r="N80" s="253">
        <f t="shared" si="36"/>
        <v>2278.8000000000002</v>
      </c>
      <c r="O80" s="253">
        <f t="shared" si="36"/>
        <v>2354.7600000000002</v>
      </c>
    </row>
    <row r="81" spans="1:15">
      <c r="A81" s="251"/>
      <c r="B81" s="169" t="s">
        <v>76</v>
      </c>
      <c r="C81" s="169" t="s">
        <v>18</v>
      </c>
      <c r="D81" s="135">
        <f t="shared" ref="D81:O81" si="37">D47*D60*D38/1000</f>
        <v>0</v>
      </c>
      <c r="E81" s="135">
        <f t="shared" si="37"/>
        <v>0</v>
      </c>
      <c r="F81" s="135">
        <f t="shared" si="37"/>
        <v>0</v>
      </c>
      <c r="G81" s="135">
        <f t="shared" si="37"/>
        <v>0</v>
      </c>
      <c r="H81" s="135">
        <f t="shared" si="37"/>
        <v>0</v>
      </c>
      <c r="I81" s="135">
        <f t="shared" si="37"/>
        <v>0</v>
      </c>
      <c r="J81" s="135">
        <f t="shared" si="37"/>
        <v>0</v>
      </c>
      <c r="K81" s="135">
        <f t="shared" si="37"/>
        <v>0</v>
      </c>
      <c r="L81" s="135">
        <f t="shared" si="37"/>
        <v>0</v>
      </c>
      <c r="M81" s="135">
        <f t="shared" si="37"/>
        <v>0</v>
      </c>
      <c r="N81" s="135">
        <f t="shared" si="37"/>
        <v>0</v>
      </c>
      <c r="O81" s="135">
        <f t="shared" si="37"/>
        <v>0</v>
      </c>
    </row>
    <row r="82" spans="1:15">
      <c r="A82" s="251"/>
      <c r="B82" s="169" t="s">
        <v>77</v>
      </c>
      <c r="C82" s="169" t="s">
        <v>18</v>
      </c>
      <c r="D82" s="135">
        <f t="shared" ref="D82:O82" si="38">D38*D48*D61/1000</f>
        <v>107.40991152548963</v>
      </c>
      <c r="E82" s="135">
        <f t="shared" si="38"/>
        <v>101.54381395481279</v>
      </c>
      <c r="F82" s="135">
        <f t="shared" si="38"/>
        <v>102.70703828041724</v>
      </c>
      <c r="G82" s="135">
        <f t="shared" si="38"/>
        <v>85.639601542964499</v>
      </c>
      <c r="H82" s="135">
        <f t="shared" si="38"/>
        <v>80.534080538801248</v>
      </c>
      <c r="I82" s="135">
        <f t="shared" si="38"/>
        <v>74.921405043552014</v>
      </c>
      <c r="J82" s="135">
        <f t="shared" si="38"/>
        <v>83.502556292642211</v>
      </c>
      <c r="K82" s="135">
        <f t="shared" si="38"/>
        <v>91.883302880743287</v>
      </c>
      <c r="L82" s="135">
        <f t="shared" si="38"/>
        <v>98.222470544712863</v>
      </c>
      <c r="M82" s="135">
        <f t="shared" si="38"/>
        <v>113.23975879279951</v>
      </c>
      <c r="N82" s="135">
        <f t="shared" si="38"/>
        <v>106.6539706553434</v>
      </c>
      <c r="O82" s="135">
        <f t="shared" si="38"/>
        <v>108.21709475157404</v>
      </c>
    </row>
    <row r="83" spans="1:15">
      <c r="A83" s="251"/>
      <c r="B83" s="169" t="s">
        <v>89</v>
      </c>
      <c r="C83" s="169" t="s">
        <v>18</v>
      </c>
      <c r="D83" s="135">
        <f>D38*D49*D62/1000</f>
        <v>0</v>
      </c>
      <c r="E83" s="135">
        <f t="shared" ref="E83:O83" si="39">E38*E49*E62/1000</f>
        <v>0</v>
      </c>
      <c r="F83" s="135">
        <f t="shared" si="39"/>
        <v>0</v>
      </c>
      <c r="G83" s="135">
        <f t="shared" si="39"/>
        <v>0</v>
      </c>
      <c r="H83" s="135">
        <f t="shared" si="39"/>
        <v>0</v>
      </c>
      <c r="I83" s="135">
        <f t="shared" si="39"/>
        <v>0</v>
      </c>
      <c r="J83" s="135">
        <f t="shared" si="39"/>
        <v>0</v>
      </c>
      <c r="K83" s="135">
        <f t="shared" si="39"/>
        <v>0</v>
      </c>
      <c r="L83" s="135">
        <f t="shared" si="39"/>
        <v>0</v>
      </c>
      <c r="M83" s="135">
        <f t="shared" si="39"/>
        <v>0</v>
      </c>
      <c r="N83" s="135">
        <f t="shared" si="39"/>
        <v>0</v>
      </c>
      <c r="O83" s="135">
        <f t="shared" si="39"/>
        <v>0</v>
      </c>
    </row>
    <row r="84" spans="1:15">
      <c r="A84" s="251"/>
      <c r="B84" s="169" t="s">
        <v>78</v>
      </c>
      <c r="C84" s="169" t="s">
        <v>18</v>
      </c>
      <c r="D84" s="135">
        <f t="shared" ref="D84:O84" si="40">D38*D50*D63/1000</f>
        <v>843.34628138456981</v>
      </c>
      <c r="E84" s="135">
        <f t="shared" si="40"/>
        <v>1016.80740024232</v>
      </c>
      <c r="F84" s="135">
        <f t="shared" si="40"/>
        <v>1412.6165449972179</v>
      </c>
      <c r="G84" s="135">
        <f t="shared" si="40"/>
        <v>1656.25197157869</v>
      </c>
      <c r="H84" s="135">
        <f t="shared" si="40"/>
        <v>1975.0626279945543</v>
      </c>
      <c r="I84" s="135">
        <f t="shared" si="40"/>
        <v>2041.5306721182767</v>
      </c>
      <c r="J84" s="135">
        <f t="shared" si="40"/>
        <v>2249.8022973837551</v>
      </c>
      <c r="K84" s="135">
        <f t="shared" si="40"/>
        <v>2005.3980690491439</v>
      </c>
      <c r="L84" s="135">
        <f t="shared" si="40"/>
        <v>1549.1610384402518</v>
      </c>
      <c r="M84" s="135">
        <f t="shared" si="40"/>
        <v>1247.8403636151641</v>
      </c>
      <c r="N84" s="135">
        <f t="shared" si="40"/>
        <v>889.73891195313718</v>
      </c>
      <c r="O84" s="135">
        <f t="shared" si="40"/>
        <v>786.92233559368276</v>
      </c>
    </row>
    <row r="85" spans="1:15">
      <c r="A85" s="251"/>
      <c r="B85" s="169" t="s">
        <v>79</v>
      </c>
      <c r="C85" s="169" t="s">
        <v>18</v>
      </c>
      <c r="D85" s="135">
        <f t="shared" ref="D85:O85" si="41">D38*D51*D64/1000</f>
        <v>447.39615254960722</v>
      </c>
      <c r="E85" s="135">
        <f t="shared" si="41"/>
        <v>566.55534212398243</v>
      </c>
      <c r="F85" s="135">
        <f t="shared" si="41"/>
        <v>861.3133806940391</v>
      </c>
      <c r="G85" s="135">
        <f t="shared" si="41"/>
        <v>1083.2650444089331</v>
      </c>
      <c r="H85" s="135">
        <f t="shared" si="41"/>
        <v>1320.8105401675562</v>
      </c>
      <c r="I85" s="135">
        <f t="shared" si="41"/>
        <v>1364.508345590787</v>
      </c>
      <c r="J85" s="135">
        <f t="shared" si="41"/>
        <v>1376.9210898825747</v>
      </c>
      <c r="K85" s="135">
        <f t="shared" si="41"/>
        <v>1213.0586745826711</v>
      </c>
      <c r="L85" s="135">
        <f t="shared" si="41"/>
        <v>931.09036215355741</v>
      </c>
      <c r="M85" s="135">
        <f t="shared" si="41"/>
        <v>698.91391963566298</v>
      </c>
      <c r="N85" s="135">
        <f t="shared" si="41"/>
        <v>474.18155451264971</v>
      </c>
      <c r="O85" s="135">
        <f t="shared" si="41"/>
        <v>402.05349378855595</v>
      </c>
    </row>
    <row r="86" spans="1:15">
      <c r="A86" s="251"/>
      <c r="B86" s="169" t="s">
        <v>80</v>
      </c>
      <c r="C86" s="169" t="s">
        <v>18</v>
      </c>
      <c r="D86" s="135">
        <f>D38*D52*D65/1000</f>
        <v>1046.083815</v>
      </c>
      <c r="E86" s="135">
        <f t="shared" ref="E86:O86" si="42">E38*E52*E65/1000</f>
        <v>1339.8463858499999</v>
      </c>
      <c r="F86" s="135">
        <f t="shared" si="42"/>
        <v>1990.70929155</v>
      </c>
      <c r="G86" s="135">
        <f t="shared" si="42"/>
        <v>2474.4851543999998</v>
      </c>
      <c r="H86" s="135">
        <f t="shared" si="42"/>
        <v>3070.0454326499998</v>
      </c>
      <c r="I86" s="135">
        <f t="shared" si="42"/>
        <v>3230.37757035</v>
      </c>
      <c r="J86" s="135">
        <f t="shared" si="42"/>
        <v>3516.1723852500004</v>
      </c>
      <c r="K86" s="135">
        <f t="shared" si="42"/>
        <v>3027.5619643499999</v>
      </c>
      <c r="L86" s="135">
        <f t="shared" si="42"/>
        <v>2225.4969922499999</v>
      </c>
      <c r="M86" s="135">
        <f t="shared" si="42"/>
        <v>1676.7999213000001</v>
      </c>
      <c r="N86" s="135">
        <f t="shared" si="42"/>
        <v>1120.4719974</v>
      </c>
      <c r="O86" s="135">
        <f t="shared" si="42"/>
        <v>953.04805154999997</v>
      </c>
    </row>
    <row r="87" spans="1:15">
      <c r="A87" s="251"/>
      <c r="B87" s="169" t="s">
        <v>94</v>
      </c>
      <c r="C87" s="169" t="s">
        <v>18</v>
      </c>
      <c r="D87" s="135">
        <f>D38*D53*D66/1000</f>
        <v>0</v>
      </c>
      <c r="E87" s="135">
        <f t="shared" ref="E87:O87" si="43">E38*E53*E66/1000</f>
        <v>0</v>
      </c>
      <c r="F87" s="135">
        <f t="shared" si="43"/>
        <v>0</v>
      </c>
      <c r="G87" s="135">
        <f t="shared" si="43"/>
        <v>0</v>
      </c>
      <c r="H87" s="135">
        <f t="shared" si="43"/>
        <v>0</v>
      </c>
      <c r="I87" s="135">
        <f t="shared" si="43"/>
        <v>0</v>
      </c>
      <c r="J87" s="135">
        <f t="shared" si="43"/>
        <v>0</v>
      </c>
      <c r="K87" s="135">
        <f t="shared" si="43"/>
        <v>0</v>
      </c>
      <c r="L87" s="135">
        <f t="shared" si="43"/>
        <v>0</v>
      </c>
      <c r="M87" s="135">
        <f t="shared" si="43"/>
        <v>0</v>
      </c>
      <c r="N87" s="135">
        <f t="shared" si="43"/>
        <v>0</v>
      </c>
      <c r="O87" s="135">
        <f t="shared" si="43"/>
        <v>0</v>
      </c>
    </row>
    <row r="88" spans="1:15" ht="15">
      <c r="A88" s="251" t="s">
        <v>233</v>
      </c>
      <c r="B88" s="169" t="s">
        <v>64</v>
      </c>
      <c r="C88" s="250" t="s">
        <v>188</v>
      </c>
      <c r="D88" s="253">
        <f>SUM(D81:D87)</f>
        <v>2444.2361604596667</v>
      </c>
      <c r="E88" s="253">
        <f t="shared" ref="E88:O88" si="44">SUM(E81:E87)</f>
        <v>3024.7529421711151</v>
      </c>
      <c r="F88" s="253">
        <f t="shared" si="44"/>
        <v>4367.3462555216738</v>
      </c>
      <c r="G88" s="253">
        <f t="shared" si="44"/>
        <v>5299.6417719305882</v>
      </c>
      <c r="H88" s="253">
        <f t="shared" si="44"/>
        <v>6446.452681350911</v>
      </c>
      <c r="I88" s="253">
        <f t="shared" si="44"/>
        <v>6711.3379931026157</v>
      </c>
      <c r="J88" s="253">
        <f t="shared" si="44"/>
        <v>7226.398328808973</v>
      </c>
      <c r="K88" s="253">
        <f t="shared" si="44"/>
        <v>6337.9020108625591</v>
      </c>
      <c r="L88" s="253">
        <f t="shared" si="44"/>
        <v>4803.970863388522</v>
      </c>
      <c r="M88" s="253">
        <f t="shared" si="44"/>
        <v>3736.7939633436263</v>
      </c>
      <c r="N88" s="253">
        <f t="shared" si="44"/>
        <v>2591.0464345211303</v>
      </c>
      <c r="O88" s="253">
        <f t="shared" si="44"/>
        <v>2250.2409756838128</v>
      </c>
    </row>
    <row r="89" spans="1:15">
      <c r="A89" s="251"/>
      <c r="B89" s="169" t="s">
        <v>81</v>
      </c>
      <c r="C89" s="169" t="s">
        <v>18</v>
      </c>
      <c r="D89" s="135">
        <f t="shared" ref="D89:O89" si="45">D67*D47*D38/1000</f>
        <v>1875.1095</v>
      </c>
      <c r="E89" s="135">
        <f t="shared" si="45"/>
        <v>2401.6801049999999</v>
      </c>
      <c r="F89" s="135">
        <f t="shared" si="45"/>
        <v>3568.354515</v>
      </c>
      <c r="G89" s="135">
        <f t="shared" si="45"/>
        <v>4435.5247200000003</v>
      </c>
      <c r="H89" s="135">
        <f t="shared" si="45"/>
        <v>5503.0689449999991</v>
      </c>
      <c r="I89" s="135">
        <f t="shared" si="45"/>
        <v>5790.4649550000004</v>
      </c>
      <c r="J89" s="135">
        <f t="shared" si="45"/>
        <v>6302.7533250000006</v>
      </c>
      <c r="K89" s="135">
        <f t="shared" si="45"/>
        <v>5426.9171550000001</v>
      </c>
      <c r="L89" s="135">
        <f t="shared" si="45"/>
        <v>3989.2124249999997</v>
      </c>
      <c r="M89" s="135">
        <f t="shared" si="45"/>
        <v>3005.6706899999999</v>
      </c>
      <c r="N89" s="135">
        <f t="shared" si="45"/>
        <v>2008.4506199999996</v>
      </c>
      <c r="O89" s="135">
        <f t="shared" si="45"/>
        <v>1708.342515</v>
      </c>
    </row>
    <row r="90" spans="1:15">
      <c r="A90" s="251"/>
      <c r="B90" s="169" t="s">
        <v>82</v>
      </c>
      <c r="C90" s="169" t="s">
        <v>18</v>
      </c>
      <c r="D90" s="135">
        <f t="shared" ref="D90:O90" si="46">D48*D38*D68/1000</f>
        <v>807.18422738675326</v>
      </c>
      <c r="E90" s="135">
        <f t="shared" si="46"/>
        <v>763.100572832784</v>
      </c>
      <c r="F90" s="135">
        <f t="shared" si="46"/>
        <v>771.84219001880763</v>
      </c>
      <c r="G90" s="135">
        <f t="shared" si="46"/>
        <v>643.58060278973949</v>
      </c>
      <c r="H90" s="135">
        <f t="shared" si="46"/>
        <v>605.21267222707104</v>
      </c>
      <c r="I90" s="135">
        <f t="shared" si="46"/>
        <v>563.03348160246856</v>
      </c>
      <c r="J90" s="135">
        <f t="shared" si="46"/>
        <v>627.52073275751673</v>
      </c>
      <c r="K90" s="135">
        <f t="shared" si="46"/>
        <v>690.5019452318902</v>
      </c>
      <c r="L90" s="135">
        <f t="shared" si="46"/>
        <v>738.14071599749207</v>
      </c>
      <c r="M90" s="135">
        <f t="shared" si="46"/>
        <v>850.9954613353965</v>
      </c>
      <c r="N90" s="135">
        <f t="shared" si="46"/>
        <v>801.50334059937097</v>
      </c>
      <c r="O90" s="135">
        <f t="shared" si="46"/>
        <v>813.25019987898338</v>
      </c>
    </row>
    <row r="91" spans="1:15">
      <c r="A91" s="251"/>
      <c r="B91" s="169" t="s">
        <v>90</v>
      </c>
      <c r="C91" s="169" t="s">
        <v>18</v>
      </c>
      <c r="D91" s="135">
        <f>D38*D49*D69/1000</f>
        <v>0</v>
      </c>
      <c r="E91" s="135">
        <f t="shared" ref="E91:O91" si="47">E38*E49*E69/1000</f>
        <v>0</v>
      </c>
      <c r="F91" s="135">
        <f t="shared" si="47"/>
        <v>0</v>
      </c>
      <c r="G91" s="135">
        <f t="shared" si="47"/>
        <v>0</v>
      </c>
      <c r="H91" s="135">
        <f t="shared" si="47"/>
        <v>0</v>
      </c>
      <c r="I91" s="135">
        <f t="shared" si="47"/>
        <v>0</v>
      </c>
      <c r="J91" s="135">
        <f t="shared" si="47"/>
        <v>0</v>
      </c>
      <c r="K91" s="135">
        <f t="shared" si="47"/>
        <v>0</v>
      </c>
      <c r="L91" s="135">
        <f t="shared" si="47"/>
        <v>0</v>
      </c>
      <c r="M91" s="135">
        <f t="shared" si="47"/>
        <v>0</v>
      </c>
      <c r="N91" s="135">
        <f t="shared" si="47"/>
        <v>0</v>
      </c>
      <c r="O91" s="135">
        <f t="shared" si="47"/>
        <v>0</v>
      </c>
    </row>
    <row r="92" spans="1:15">
      <c r="A92" s="251"/>
      <c r="B92" s="169" t="s">
        <v>83</v>
      </c>
      <c r="C92" s="169" t="s">
        <v>18</v>
      </c>
      <c r="D92" s="135">
        <f t="shared" ref="D92:O92" si="48">D70*D50*D38/1000</f>
        <v>2190.1327668087806</v>
      </c>
      <c r="E92" s="135">
        <f t="shared" si="48"/>
        <v>2640.6035740719176</v>
      </c>
      <c r="F92" s="135">
        <f t="shared" si="48"/>
        <v>3668.5023108838755</v>
      </c>
      <c r="G92" s="135">
        <f t="shared" si="48"/>
        <v>4301.2126727953373</v>
      </c>
      <c r="H92" s="135">
        <f t="shared" si="48"/>
        <v>5129.1497615530707</v>
      </c>
      <c r="I92" s="135">
        <f t="shared" si="48"/>
        <v>5301.7643145479087</v>
      </c>
      <c r="J92" s="135">
        <f t="shared" si="48"/>
        <v>5842.6364580066647</v>
      </c>
      <c r="K92" s="135">
        <f t="shared" si="48"/>
        <v>5207.9295521512786</v>
      </c>
      <c r="L92" s="135">
        <f t="shared" si="48"/>
        <v>4023.102284605141</v>
      </c>
      <c r="M92" s="135">
        <f t="shared" si="48"/>
        <v>3240.585899795914</v>
      </c>
      <c r="N92" s="135">
        <f t="shared" si="48"/>
        <v>2310.612364086262</v>
      </c>
      <c r="O92" s="135">
        <f t="shared" si="48"/>
        <v>2043.602290257224</v>
      </c>
    </row>
    <row r="93" spans="1:15">
      <c r="A93" s="251"/>
      <c r="B93" s="169" t="s">
        <v>84</v>
      </c>
      <c r="C93" s="169" t="s">
        <v>18</v>
      </c>
      <c r="D93" s="135">
        <f t="shared" ref="D93:O93" si="49">D71*D51*D38/1000</f>
        <v>596.07417139454708</v>
      </c>
      <c r="E93" s="135">
        <f t="shared" si="49"/>
        <v>754.83216424902491</v>
      </c>
      <c r="F93" s="135">
        <f t="shared" si="49"/>
        <v>1147.5437524047748</v>
      </c>
      <c r="G93" s="135">
        <f t="shared" si="49"/>
        <v>1443.2540603378034</v>
      </c>
      <c r="H93" s="135">
        <f t="shared" si="49"/>
        <v>1759.7403192068448</v>
      </c>
      <c r="I93" s="135">
        <f t="shared" si="49"/>
        <v>1817.9597138327842</v>
      </c>
      <c r="J93" s="135">
        <f t="shared" si="49"/>
        <v>1834.4974427030368</v>
      </c>
      <c r="K93" s="135">
        <f t="shared" si="49"/>
        <v>1616.1805151524161</v>
      </c>
      <c r="L93" s="135">
        <f t="shared" si="49"/>
        <v>1240.5089157591542</v>
      </c>
      <c r="M93" s="135">
        <f t="shared" si="49"/>
        <v>931.17594585650738</v>
      </c>
      <c r="N93" s="135">
        <f t="shared" si="49"/>
        <v>631.76085799120949</v>
      </c>
      <c r="O93" s="135">
        <f t="shared" si="49"/>
        <v>535.66330823491705</v>
      </c>
    </row>
    <row r="94" spans="1:15">
      <c r="A94" s="251"/>
      <c r="B94" s="169" t="s">
        <v>96</v>
      </c>
      <c r="C94" s="169" t="s">
        <v>18</v>
      </c>
      <c r="D94" s="135">
        <f t="shared" ref="D94:O94" si="50">D72*D52*D38/1000</f>
        <v>2716.6331205000001</v>
      </c>
      <c r="E94" s="135">
        <f t="shared" si="50"/>
        <v>3479.5214455950004</v>
      </c>
      <c r="F94" s="135">
        <f t="shared" si="50"/>
        <v>5169.7834505849996</v>
      </c>
      <c r="G94" s="135">
        <f t="shared" si="50"/>
        <v>6426.1278400800002</v>
      </c>
      <c r="H94" s="135">
        <f t="shared" si="50"/>
        <v>7972.7713823550002</v>
      </c>
      <c r="I94" s="135">
        <f t="shared" si="50"/>
        <v>8389.1468097450015</v>
      </c>
      <c r="J94" s="135">
        <f t="shared" si="50"/>
        <v>9131.3432271750007</v>
      </c>
      <c r="K94" s="135">
        <f t="shared" si="50"/>
        <v>7862.4437055449998</v>
      </c>
      <c r="L94" s="135">
        <f t="shared" si="50"/>
        <v>5779.5166620749987</v>
      </c>
      <c r="M94" s="135">
        <f t="shared" si="50"/>
        <v>4354.5747839099995</v>
      </c>
      <c r="N94" s="135">
        <f t="shared" si="50"/>
        <v>2909.8159201799995</v>
      </c>
      <c r="O94" s="135">
        <f t="shared" si="50"/>
        <v>2475.023382585</v>
      </c>
    </row>
    <row r="95" spans="1:15">
      <c r="A95" s="251"/>
      <c r="B95" s="169" t="s">
        <v>95</v>
      </c>
      <c r="C95" s="169" t="s">
        <v>18</v>
      </c>
      <c r="D95" s="135">
        <f>D38*D53*D73/1000</f>
        <v>0</v>
      </c>
      <c r="E95" s="135">
        <f t="shared" ref="E95:O95" si="51">E38*E53*E73/1000</f>
        <v>0</v>
      </c>
      <c r="F95" s="135">
        <f t="shared" si="51"/>
        <v>0</v>
      </c>
      <c r="G95" s="135">
        <f t="shared" si="51"/>
        <v>0</v>
      </c>
      <c r="H95" s="135">
        <f t="shared" si="51"/>
        <v>0</v>
      </c>
      <c r="I95" s="135">
        <f t="shared" si="51"/>
        <v>0</v>
      </c>
      <c r="J95" s="135">
        <f t="shared" si="51"/>
        <v>0</v>
      </c>
      <c r="K95" s="135">
        <f t="shared" si="51"/>
        <v>0</v>
      </c>
      <c r="L95" s="135">
        <f t="shared" si="51"/>
        <v>0</v>
      </c>
      <c r="M95" s="135">
        <f t="shared" si="51"/>
        <v>0</v>
      </c>
      <c r="N95" s="135">
        <f t="shared" si="51"/>
        <v>0</v>
      </c>
      <c r="O95" s="135">
        <f t="shared" si="51"/>
        <v>0</v>
      </c>
    </row>
    <row r="96" spans="1:15" ht="15">
      <c r="A96" s="251" t="s">
        <v>234</v>
      </c>
      <c r="B96" s="169" t="s">
        <v>65</v>
      </c>
      <c r="C96" s="250" t="s">
        <v>188</v>
      </c>
      <c r="D96" s="253">
        <f>SUM(D89:D95)</f>
        <v>8185.1337860900803</v>
      </c>
      <c r="E96" s="253">
        <f t="shared" ref="E96:O96" si="52">SUM(E89:E95)</f>
        <v>10039.737861748727</v>
      </c>
      <c r="F96" s="253">
        <f t="shared" si="52"/>
        <v>14326.026218892457</v>
      </c>
      <c r="G96" s="253">
        <f t="shared" si="52"/>
        <v>17249.69989600288</v>
      </c>
      <c r="H96" s="253">
        <f t="shared" si="52"/>
        <v>20969.943080341985</v>
      </c>
      <c r="I96" s="253">
        <f t="shared" si="52"/>
        <v>21862.369274728164</v>
      </c>
      <c r="J96" s="253">
        <f t="shared" si="52"/>
        <v>23738.751185642221</v>
      </c>
      <c r="K96" s="253">
        <f t="shared" si="52"/>
        <v>20803.972873080587</v>
      </c>
      <c r="L96" s="253">
        <f t="shared" si="52"/>
        <v>15770.481003436786</v>
      </c>
      <c r="M96" s="253">
        <f t="shared" si="52"/>
        <v>12383.002780897818</v>
      </c>
      <c r="N96" s="253">
        <f t="shared" si="52"/>
        <v>8662.1431028568422</v>
      </c>
      <c r="O96" s="253">
        <f t="shared" si="52"/>
        <v>7575.8816959561245</v>
      </c>
    </row>
    <row r="97" spans="1:16">
      <c r="A97" s="251" t="s">
        <v>235</v>
      </c>
      <c r="B97" s="169" t="s">
        <v>175</v>
      </c>
      <c r="C97" s="169" t="s">
        <v>172</v>
      </c>
      <c r="D97" s="135">
        <f t="shared" ref="D97:O97" si="53">D80+D88+D77</f>
        <v>4807.8671134596661</v>
      </c>
      <c r="E97" s="135">
        <f t="shared" si="53"/>
        <v>5162.278085771115</v>
      </c>
      <c r="F97" s="135">
        <f t="shared" si="53"/>
        <v>6764.686829921674</v>
      </c>
      <c r="G97" s="135">
        <f t="shared" si="53"/>
        <v>7818.4010505805882</v>
      </c>
      <c r="H97" s="135">
        <f t="shared" si="53"/>
        <v>10090.16215225091</v>
      </c>
      <c r="I97" s="135">
        <f t="shared" si="53"/>
        <v>15643.498337402621</v>
      </c>
      <c r="J97" s="135">
        <f t="shared" si="53"/>
        <v>24055.368780958939</v>
      </c>
      <c r="K97" s="135">
        <f t="shared" si="53"/>
        <v>22957.984635362547</v>
      </c>
      <c r="L97" s="135">
        <f t="shared" si="53"/>
        <v>15677.837225088526</v>
      </c>
      <c r="M97" s="135">
        <f t="shared" si="53"/>
        <v>8469.8564626436255</v>
      </c>
      <c r="N97" s="135">
        <f t="shared" si="53"/>
        <v>4946.1366303211307</v>
      </c>
      <c r="O97" s="135">
        <f t="shared" si="53"/>
        <v>4667.5411943338131</v>
      </c>
      <c r="P97" s="110" t="s">
        <v>227</v>
      </c>
    </row>
    <row r="98" spans="1:16">
      <c r="A98" s="251" t="s">
        <v>236</v>
      </c>
      <c r="B98" s="169" t="s">
        <v>176</v>
      </c>
      <c r="C98" s="169" t="s">
        <v>173</v>
      </c>
      <c r="D98" s="135">
        <f>D96+D80+D79</f>
        <v>10539.893786090081</v>
      </c>
      <c r="E98" s="135">
        <f t="shared" ref="E98:O98" si="54">E96+E80+E79</f>
        <v>12166.617861748728</v>
      </c>
      <c r="F98" s="135">
        <f t="shared" si="54"/>
        <v>16680.786218892456</v>
      </c>
      <c r="G98" s="135">
        <f t="shared" si="54"/>
        <v>19528.499896002879</v>
      </c>
      <c r="H98" s="135">
        <f t="shared" si="54"/>
        <v>23324.703080341984</v>
      </c>
      <c r="I98" s="135">
        <f t="shared" si="54"/>
        <v>24241.411043628163</v>
      </c>
      <c r="J98" s="135">
        <f t="shared" si="54"/>
        <v>27211.251263642222</v>
      </c>
      <c r="K98" s="135">
        <f t="shared" si="54"/>
        <v>24493.81129958059</v>
      </c>
      <c r="L98" s="135">
        <f t="shared" si="54"/>
        <v>18648.957426236786</v>
      </c>
      <c r="M98" s="135">
        <f t="shared" si="54"/>
        <v>14742.198257397818</v>
      </c>
      <c r="N98" s="135">
        <f t="shared" si="54"/>
        <v>10940.943102856843</v>
      </c>
      <c r="O98" s="135">
        <f t="shared" si="54"/>
        <v>9930.6416959561247</v>
      </c>
      <c r="P98" s="110" t="s">
        <v>228</v>
      </c>
    </row>
    <row r="99" spans="1:16" ht="15">
      <c r="A99" s="251" t="s">
        <v>237</v>
      </c>
      <c r="B99" s="250" t="s">
        <v>189</v>
      </c>
      <c r="C99" s="169" t="s">
        <v>174</v>
      </c>
      <c r="D99" s="209">
        <f>IF(D76=0,0,D97/D76)</f>
        <v>0.12430254449454148</v>
      </c>
      <c r="E99" s="209">
        <f t="shared" ref="E99:O99" si="55">IF(E76=0,0,E97/E76)</f>
        <v>0.1604668551638754</v>
      </c>
      <c r="F99" s="209">
        <f t="shared" si="55"/>
        <v>0.22920442360121787</v>
      </c>
      <c r="G99" s="209">
        <f t="shared" si="55"/>
        <v>0.35638907884689397</v>
      </c>
      <c r="H99" s="209">
        <f t="shared" si="55"/>
        <v>0.88610836375399182</v>
      </c>
      <c r="I99" s="209">
        <f t="shared" si="55"/>
        <v>4.649227086805543</v>
      </c>
      <c r="J99" s="209">
        <f t="shared" si="55"/>
        <v>68.650648695688076</v>
      </c>
      <c r="K99" s="209">
        <f t="shared" si="55"/>
        <v>105.41732366748212</v>
      </c>
      <c r="L99" s="209">
        <f t="shared" si="55"/>
        <v>6.2614503357326976</v>
      </c>
      <c r="M99" s="209">
        <f t="shared" si="55"/>
        <v>0.78728435109629258</v>
      </c>
      <c r="N99" s="209">
        <f t="shared" si="55"/>
        <v>0.20208849204088211</v>
      </c>
      <c r="O99" s="209">
        <f t="shared" si="55"/>
        <v>0.13083749538238992</v>
      </c>
    </row>
    <row r="100" spans="1:16" ht="15">
      <c r="A100" s="251" t="s">
        <v>238</v>
      </c>
      <c r="B100" s="250" t="s">
        <v>190</v>
      </c>
      <c r="C100" s="156" t="s">
        <v>177</v>
      </c>
      <c r="D100" s="209">
        <f t="shared" ref="D100:O100" si="56">D78/D98</f>
        <v>10.600401823009907</v>
      </c>
      <c r="E100" s="209">
        <f t="shared" si="56"/>
        <v>7.9172845919362951</v>
      </c>
      <c r="F100" s="209">
        <f t="shared" si="56"/>
        <v>5.7820686066920857</v>
      </c>
      <c r="G100" s="209">
        <f t="shared" si="56"/>
        <v>4.1892564039875326</v>
      </c>
      <c r="H100" s="209">
        <f t="shared" si="56"/>
        <v>2.7370958033333275</v>
      </c>
      <c r="I100" s="209">
        <f t="shared" si="56"/>
        <v>1.612375418231845</v>
      </c>
      <c r="J100" s="209">
        <f t="shared" si="56"/>
        <v>0.84431334119858781</v>
      </c>
      <c r="K100" s="209">
        <f t="shared" si="56"/>
        <v>0.94095655018762481</v>
      </c>
      <c r="L100" s="209">
        <f t="shared" si="56"/>
        <v>1.8053983794092532</v>
      </c>
      <c r="M100" s="209">
        <f t="shared" si="56"/>
        <v>4.0047907189535525</v>
      </c>
      <c r="N100" s="209">
        <f t="shared" si="56"/>
        <v>7.8141325062805995</v>
      </c>
      <c r="O100" s="209">
        <f t="shared" si="56"/>
        <v>10.714078786280892</v>
      </c>
    </row>
    <row r="101" spans="1:16" ht="15">
      <c r="A101" s="251"/>
      <c r="B101" s="250" t="s">
        <v>191</v>
      </c>
      <c r="C101" s="156" t="s">
        <v>11</v>
      </c>
      <c r="D101" s="209">
        <f>D75/(D54+D58)/60/60</f>
        <v>2.9731867590776326E-2</v>
      </c>
      <c r="E101" s="209">
        <f t="shared" ref="E101:O101" si="57">E75/(E54+E58)/60/60</f>
        <v>2.9731867590776326E-2</v>
      </c>
      <c r="F101" s="209">
        <f t="shared" si="57"/>
        <v>2.9731867590776326E-2</v>
      </c>
      <c r="G101" s="209">
        <f t="shared" si="57"/>
        <v>2.9731867590776326E-2</v>
      </c>
      <c r="H101" s="209">
        <f t="shared" si="57"/>
        <v>2.9731867590776326E-2</v>
      </c>
      <c r="I101" s="209">
        <f>I75/(I54+I58)/60/60</f>
        <v>2.9731867590776326E-2</v>
      </c>
      <c r="J101" s="209">
        <f>J75/(J54+J58)/60/60</f>
        <v>2.9731867590776326E-2</v>
      </c>
      <c r="K101" s="209">
        <f>K75/(K54+K58)/60/60</f>
        <v>2.9731867590776326E-2</v>
      </c>
      <c r="L101" s="209">
        <f>L75/(L54+L58)/60/60</f>
        <v>2.9731867590776326E-2</v>
      </c>
      <c r="M101" s="209">
        <f t="shared" si="57"/>
        <v>2.9731867590776326E-2</v>
      </c>
      <c r="N101" s="209">
        <f t="shared" si="57"/>
        <v>2.9731867590776326E-2</v>
      </c>
      <c r="O101" s="209">
        <f t="shared" si="57"/>
        <v>2.9731867590776326E-2</v>
      </c>
    </row>
    <row r="102" spans="1:16" ht="15">
      <c r="A102" s="251"/>
      <c r="B102" s="250" t="s">
        <v>192</v>
      </c>
      <c r="C102" s="156" t="s">
        <v>11</v>
      </c>
      <c r="D102" s="209">
        <f>D75/(D56+D59)/60/60</f>
        <v>1.6346828696639303E-2</v>
      </c>
      <c r="E102" s="209">
        <f t="shared" ref="E102:O102" si="58">E75/(E56+E59)/60/60</f>
        <v>1.6346828696639303E-2</v>
      </c>
      <c r="F102" s="209">
        <f t="shared" si="58"/>
        <v>1.6346828696639303E-2</v>
      </c>
      <c r="G102" s="209">
        <f t="shared" si="58"/>
        <v>1.6346828696639303E-2</v>
      </c>
      <c r="H102" s="209">
        <f t="shared" si="58"/>
        <v>1.6346828696639303E-2</v>
      </c>
      <c r="I102" s="209">
        <f t="shared" si="58"/>
        <v>1.6346828696639303E-2</v>
      </c>
      <c r="J102" s="209">
        <f t="shared" si="58"/>
        <v>1.6346828696639303E-2</v>
      </c>
      <c r="K102" s="209">
        <f t="shared" si="58"/>
        <v>1.6346828696639303E-2</v>
      </c>
      <c r="L102" s="209">
        <f t="shared" si="58"/>
        <v>1.6346828696639303E-2</v>
      </c>
      <c r="M102" s="209">
        <f t="shared" si="58"/>
        <v>1.6346828696639303E-2</v>
      </c>
      <c r="N102" s="209">
        <f t="shared" si="58"/>
        <v>1.6346828696639303E-2</v>
      </c>
      <c r="O102" s="209">
        <f t="shared" si="58"/>
        <v>1.6346828696639303E-2</v>
      </c>
    </row>
    <row r="103" spans="1:16" ht="15">
      <c r="A103" s="251"/>
      <c r="B103" s="169" t="s">
        <v>60</v>
      </c>
      <c r="C103" s="156" t="s">
        <v>193</v>
      </c>
      <c r="D103" s="209">
        <f>1+D101/15</f>
        <v>1.0019821245060518</v>
      </c>
      <c r="E103" s="209">
        <f t="shared" ref="E103:O103" si="59">1+E101/15</f>
        <v>1.0019821245060518</v>
      </c>
      <c r="F103" s="209">
        <f t="shared" si="59"/>
        <v>1.0019821245060518</v>
      </c>
      <c r="G103" s="209">
        <f t="shared" si="59"/>
        <v>1.0019821245060518</v>
      </c>
      <c r="H103" s="209">
        <f t="shared" si="59"/>
        <v>1.0019821245060518</v>
      </c>
      <c r="I103" s="209">
        <f t="shared" si="59"/>
        <v>1.0019821245060518</v>
      </c>
      <c r="J103" s="209">
        <f t="shared" si="59"/>
        <v>1.0019821245060518</v>
      </c>
      <c r="K103" s="209">
        <f t="shared" si="59"/>
        <v>1.0019821245060518</v>
      </c>
      <c r="L103" s="209">
        <f t="shared" si="59"/>
        <v>1.0019821245060518</v>
      </c>
      <c r="M103" s="209">
        <f t="shared" si="59"/>
        <v>1.0019821245060518</v>
      </c>
      <c r="N103" s="209">
        <f t="shared" si="59"/>
        <v>1.0019821245060518</v>
      </c>
      <c r="O103" s="209">
        <f t="shared" si="59"/>
        <v>1.0019821245060518</v>
      </c>
    </row>
    <row r="104" spans="1:16" ht="15">
      <c r="A104" s="251"/>
      <c r="B104" s="169" t="s">
        <v>61</v>
      </c>
      <c r="C104" s="156" t="s">
        <v>193</v>
      </c>
      <c r="D104" s="209">
        <f>1+D102/15</f>
        <v>1.001089788579776</v>
      </c>
      <c r="E104" s="209">
        <f t="shared" ref="E104:O104" si="60">1+E101/15</f>
        <v>1.0019821245060518</v>
      </c>
      <c r="F104" s="209">
        <f t="shared" si="60"/>
        <v>1.0019821245060518</v>
      </c>
      <c r="G104" s="209">
        <f t="shared" si="60"/>
        <v>1.0019821245060518</v>
      </c>
      <c r="H104" s="209">
        <f t="shared" si="60"/>
        <v>1.0019821245060518</v>
      </c>
      <c r="I104" s="209">
        <f t="shared" si="60"/>
        <v>1.0019821245060518</v>
      </c>
      <c r="J104" s="209">
        <f t="shared" si="60"/>
        <v>1.0019821245060518</v>
      </c>
      <c r="K104" s="209">
        <f t="shared" si="60"/>
        <v>1.0019821245060518</v>
      </c>
      <c r="L104" s="209">
        <f t="shared" si="60"/>
        <v>1.0019821245060518</v>
      </c>
      <c r="M104" s="209">
        <f t="shared" si="60"/>
        <v>1.0019821245060518</v>
      </c>
      <c r="N104" s="209">
        <f t="shared" si="60"/>
        <v>1.0019821245060518</v>
      </c>
      <c r="O104" s="209">
        <f t="shared" si="60"/>
        <v>1.0019821245060518</v>
      </c>
    </row>
    <row r="105" spans="1:16" ht="17.25">
      <c r="A105" s="251"/>
      <c r="B105" s="250" t="s">
        <v>194</v>
      </c>
      <c r="C105" s="156" t="s">
        <v>195</v>
      </c>
      <c r="D105" s="209">
        <f t="shared" ref="D105:O105" si="61">IF(D76=1,D103/(D103+1),(1-D99^D103)/(1-D99^(D103+1)))</f>
        <v>0.88990341117347282</v>
      </c>
      <c r="E105" s="209">
        <f t="shared" si="61"/>
        <v>0.86223591103301245</v>
      </c>
      <c r="F105" s="209">
        <f t="shared" si="61"/>
        <v>0.81410806113720335</v>
      </c>
      <c r="G105" s="209">
        <f t="shared" si="61"/>
        <v>0.73786627788589443</v>
      </c>
      <c r="H105" s="209">
        <f t="shared" si="61"/>
        <v>0.53071588408702364</v>
      </c>
      <c r="I105" s="209">
        <f t="shared" si="61"/>
        <v>0.17713675981124927</v>
      </c>
      <c r="J105" s="209">
        <f t="shared" si="61"/>
        <v>1.4359114196366055E-2</v>
      </c>
      <c r="K105" s="209">
        <f t="shared" si="61"/>
        <v>9.3977855446312503E-3</v>
      </c>
      <c r="L105" s="209">
        <f t="shared" si="61"/>
        <v>0.13779544248821804</v>
      </c>
      <c r="M105" s="209">
        <f t="shared" si="61"/>
        <v>0.56005676194695542</v>
      </c>
      <c r="N105" s="209">
        <f t="shared" si="61"/>
        <v>0.83244008640422795</v>
      </c>
      <c r="O105" s="209">
        <f t="shared" si="61"/>
        <v>0.88477390458619898</v>
      </c>
    </row>
    <row r="106" spans="1:16" ht="17.25">
      <c r="A106" s="252"/>
      <c r="B106" s="250" t="s">
        <v>196</v>
      </c>
      <c r="C106" s="156" t="s">
        <v>197</v>
      </c>
      <c r="D106" s="209">
        <f>IF(D100=1,D104/(D104+1),IF(D100&lt;0,1,(1-D100^D104)/(1-D100^(D104+1))))</f>
        <v>8.6224993659821184E-2</v>
      </c>
      <c r="E106" s="209">
        <f t="shared" ref="E106:O106" si="62">IF(E100=1,E104/(E104+1),IF(E100&lt;0,1,(1-E100^E104)/(1-E100^(E104+1))))</f>
        <v>0.11220066705604573</v>
      </c>
      <c r="F106" s="209">
        <f t="shared" si="62"/>
        <v>0.14753890059297828</v>
      </c>
      <c r="G106" s="209">
        <f t="shared" si="62"/>
        <v>0.19284412350162991</v>
      </c>
      <c r="H106" s="209">
        <f t="shared" si="62"/>
        <v>0.26781234516052915</v>
      </c>
      <c r="I106" s="209">
        <f t="shared" si="62"/>
        <v>0.3831583030766923</v>
      </c>
      <c r="J106" s="209">
        <f t="shared" si="62"/>
        <v>0.54274148498639296</v>
      </c>
      <c r="K106" s="209">
        <f t="shared" si="62"/>
        <v>0.51571966864057905</v>
      </c>
      <c r="L106" s="209">
        <f t="shared" si="62"/>
        <v>0.35678877247372837</v>
      </c>
      <c r="M106" s="209">
        <f t="shared" si="62"/>
        <v>0.19995466422184369</v>
      </c>
      <c r="N106" s="209">
        <f t="shared" si="62"/>
        <v>0.11351418572793606</v>
      </c>
      <c r="O106" s="209">
        <f t="shared" si="62"/>
        <v>8.5405054879004558E-2</v>
      </c>
    </row>
    <row r="107" spans="1:16" ht="15" thickBot="1"/>
    <row r="108" spans="1:16" ht="15.75" thickBot="1">
      <c r="A108" s="109" t="s">
        <v>85</v>
      </c>
      <c r="D108" s="111" t="s">
        <v>832</v>
      </c>
      <c r="E108" s="112" t="s">
        <v>842</v>
      </c>
      <c r="F108" s="112" t="s">
        <v>833</v>
      </c>
      <c r="G108" s="112" t="s">
        <v>834</v>
      </c>
      <c r="H108" s="112" t="s">
        <v>835</v>
      </c>
      <c r="I108" s="112" t="s">
        <v>836</v>
      </c>
      <c r="J108" s="112" t="s">
        <v>837</v>
      </c>
      <c r="K108" s="112" t="s">
        <v>838</v>
      </c>
      <c r="L108" s="112" t="s">
        <v>839</v>
      </c>
      <c r="M108" s="112" t="s">
        <v>840</v>
      </c>
      <c r="N108" s="112" t="s">
        <v>841</v>
      </c>
      <c r="O108" s="113" t="s">
        <v>843</v>
      </c>
    </row>
    <row r="109" spans="1:16" ht="15">
      <c r="A109" s="114"/>
      <c r="B109" s="115" t="s">
        <v>180</v>
      </c>
      <c r="C109" s="115"/>
      <c r="D109" s="116">
        <f t="shared" ref="D109:O109" si="63">IF(D76-D105*D97&lt;0,0,D76-D105*D97)</f>
        <v>34400.213223163526</v>
      </c>
      <c r="E109" s="117">
        <f t="shared" si="63"/>
        <v>27719.268342109383</v>
      </c>
      <c r="F109" s="117">
        <f t="shared" si="63"/>
        <v>24006.584744292071</v>
      </c>
      <c r="G109" s="117">
        <f t="shared" si="63"/>
        <v>16168.889976038961</v>
      </c>
      <c r="H109" s="117">
        <f t="shared" si="63"/>
        <v>6032.0428268867236</v>
      </c>
      <c r="I109" s="117">
        <f t="shared" si="63"/>
        <v>593.71386529983647</v>
      </c>
      <c r="J109" s="117">
        <f t="shared" si="63"/>
        <v>4.9888561385118351</v>
      </c>
      <c r="K109" s="117">
        <f t="shared" si="63"/>
        <v>2.0276800099236709</v>
      </c>
      <c r="L109" s="117">
        <f t="shared" si="63"/>
        <v>343.53221996066986</v>
      </c>
      <c r="M109" s="117">
        <f t="shared" si="63"/>
        <v>6014.7189581263165</v>
      </c>
      <c r="N109" s="117">
        <f t="shared" si="63"/>
        <v>20357.74046003836</v>
      </c>
      <c r="O109" s="118">
        <f t="shared" si="63"/>
        <v>31544.620583122334</v>
      </c>
    </row>
    <row r="110" spans="1:16" ht="15.75" thickBot="1">
      <c r="A110" s="119"/>
      <c r="B110" s="120" t="s">
        <v>181</v>
      </c>
      <c r="C110" s="121"/>
      <c r="D110" s="122">
        <f t="shared" ref="D110:O110" si="64">IF(D98-D106*D78&lt;0,0,D98-D106*D78)</f>
        <v>906.22449468803461</v>
      </c>
      <c r="E110" s="123">
        <f t="shared" si="64"/>
        <v>1358.7117644235823</v>
      </c>
      <c r="F110" s="123">
        <f t="shared" si="64"/>
        <v>2450.7403542301363</v>
      </c>
      <c r="G110" s="123">
        <f t="shared" si="64"/>
        <v>3751.9427385218696</v>
      </c>
      <c r="H110" s="123">
        <f t="shared" si="64"/>
        <v>6227.0415573682658</v>
      </c>
      <c r="I110" s="123">
        <f t="shared" si="64"/>
        <v>9265.187800752532</v>
      </c>
      <c r="J110" s="123">
        <f t="shared" si="64"/>
        <v>14741.861997564512</v>
      </c>
      <c r="K110" s="123">
        <f t="shared" si="64"/>
        <v>12607.704382432401</v>
      </c>
      <c r="L110" s="123">
        <f t="shared" si="64"/>
        <v>6636.3084901934017</v>
      </c>
      <c r="M110" s="123">
        <f t="shared" si="64"/>
        <v>2936.9911037491147</v>
      </c>
      <c r="N110" s="123">
        <f t="shared" si="64"/>
        <v>1236.163675071537</v>
      </c>
      <c r="O110" s="124">
        <f t="shared" si="64"/>
        <v>843.74220761032848</v>
      </c>
    </row>
    <row r="111" spans="1:16" ht="15.75" thickBot="1">
      <c r="A111" s="218"/>
      <c r="B111" s="219"/>
      <c r="C111" s="219"/>
      <c r="D111" s="111" t="s">
        <v>832</v>
      </c>
      <c r="E111" s="112" t="s">
        <v>842</v>
      </c>
      <c r="F111" s="112" t="s">
        <v>833</v>
      </c>
      <c r="G111" s="112" t="s">
        <v>834</v>
      </c>
      <c r="H111" s="112" t="s">
        <v>835</v>
      </c>
      <c r="I111" s="112" t="s">
        <v>836</v>
      </c>
      <c r="J111" s="112" t="s">
        <v>837</v>
      </c>
      <c r="K111" s="112" t="s">
        <v>838</v>
      </c>
      <c r="L111" s="112" t="s">
        <v>839</v>
      </c>
      <c r="M111" s="112" t="s">
        <v>840</v>
      </c>
      <c r="N111" s="112" t="s">
        <v>841</v>
      </c>
      <c r="O111" s="113" t="s">
        <v>843</v>
      </c>
    </row>
    <row r="112" spans="1:16" ht="15">
      <c r="A112" s="116">
        <f>SUM(D112:O112)</f>
        <v>166244.0791137777</v>
      </c>
      <c r="B112" s="363" t="s">
        <v>346</v>
      </c>
      <c r="C112" s="363" t="str">
        <f>INDEX(S116:U116,DATA!$G$4)</f>
        <v>CALEFACCION (Inicial)</v>
      </c>
      <c r="D112" s="117">
        <f>IF(D109&gt;0.8*D110,D109,0)</f>
        <v>34400.213223163526</v>
      </c>
      <c r="E112" s="117">
        <f t="shared" ref="E112:O112" si="65">IF(E109&gt;0.8*E110,E109,0)</f>
        <v>27719.268342109383</v>
      </c>
      <c r="F112" s="117">
        <f t="shared" si="65"/>
        <v>24006.584744292071</v>
      </c>
      <c r="G112" s="117">
        <f t="shared" si="65"/>
        <v>16168.889976038961</v>
      </c>
      <c r="H112" s="117">
        <f t="shared" si="65"/>
        <v>6032.0428268867236</v>
      </c>
      <c r="I112" s="117">
        <f t="shared" si="65"/>
        <v>0</v>
      </c>
      <c r="J112" s="117">
        <f t="shared" si="65"/>
        <v>0</v>
      </c>
      <c r="K112" s="117">
        <f t="shared" si="65"/>
        <v>0</v>
      </c>
      <c r="L112" s="117">
        <f t="shared" si="65"/>
        <v>0</v>
      </c>
      <c r="M112" s="117">
        <f t="shared" si="65"/>
        <v>6014.7189581263165</v>
      </c>
      <c r="N112" s="117">
        <f t="shared" si="65"/>
        <v>20357.74046003836</v>
      </c>
      <c r="O112" s="118">
        <f t="shared" si="65"/>
        <v>31544.620583122334</v>
      </c>
    </row>
    <row r="113" spans="1:21" ht="15.75" thickBot="1">
      <c r="A113" s="127">
        <f>SUM(D113:O113)</f>
        <v>49478.104228311116</v>
      </c>
      <c r="B113" s="365" t="s">
        <v>346</v>
      </c>
      <c r="C113" s="365" t="str">
        <f>INDEX(S117:U117,DATA!$G$4)</f>
        <v>REFRIGERACION (Inicial)</v>
      </c>
      <c r="D113" s="369">
        <f>IF(D110&gt;0.8*D109,D110,0)</f>
        <v>0</v>
      </c>
      <c r="E113" s="369">
        <f t="shared" ref="E113:O113" si="66">IF(E110&gt;0.8*E109,E110,0)</f>
        <v>0</v>
      </c>
      <c r="F113" s="369">
        <f t="shared" si="66"/>
        <v>0</v>
      </c>
      <c r="G113" s="369">
        <f t="shared" si="66"/>
        <v>0</v>
      </c>
      <c r="H113" s="369">
        <f t="shared" si="66"/>
        <v>6227.0415573682658</v>
      </c>
      <c r="I113" s="369">
        <f t="shared" si="66"/>
        <v>9265.187800752532</v>
      </c>
      <c r="J113" s="369">
        <f t="shared" si="66"/>
        <v>14741.861997564512</v>
      </c>
      <c r="K113" s="369">
        <f t="shared" si="66"/>
        <v>12607.704382432401</v>
      </c>
      <c r="L113" s="369">
        <f t="shared" si="66"/>
        <v>6636.3084901934017</v>
      </c>
      <c r="M113" s="369">
        <f t="shared" si="66"/>
        <v>0</v>
      </c>
      <c r="N113" s="369">
        <f t="shared" si="66"/>
        <v>0</v>
      </c>
      <c r="O113" s="370">
        <f t="shared" si="66"/>
        <v>0</v>
      </c>
    </row>
    <row r="114" spans="1:21" ht="15">
      <c r="A114" s="375">
        <f>A112/D3</f>
        <v>105.05155078279792</v>
      </c>
      <c r="B114" s="364" t="s">
        <v>347</v>
      </c>
      <c r="C114" s="363" t="str">
        <f>C112</f>
        <v>CALEFACCION (Inicial)</v>
      </c>
      <c r="D114" s="376">
        <f>D112/$D$3</f>
        <v>21.737891452236035</v>
      </c>
      <c r="E114" s="376">
        <f t="shared" ref="E114:O114" si="67">E112/$D$3</f>
        <v>17.516125334666278</v>
      </c>
      <c r="F114" s="376">
        <f t="shared" si="67"/>
        <v>15.170037753107154</v>
      </c>
      <c r="G114" s="376">
        <f t="shared" si="67"/>
        <v>10.217308041730782</v>
      </c>
      <c r="H114" s="376">
        <f t="shared" si="67"/>
        <v>3.811717426152748</v>
      </c>
      <c r="I114" s="376">
        <f t="shared" si="67"/>
        <v>0</v>
      </c>
      <c r="J114" s="376">
        <f t="shared" si="67"/>
        <v>0</v>
      </c>
      <c r="K114" s="376">
        <f t="shared" si="67"/>
        <v>0</v>
      </c>
      <c r="L114" s="376">
        <f t="shared" si="67"/>
        <v>0</v>
      </c>
      <c r="M114" s="376">
        <f t="shared" si="67"/>
        <v>3.8007702736975144</v>
      </c>
      <c r="N114" s="376">
        <f t="shared" si="67"/>
        <v>12.864290970008442</v>
      </c>
      <c r="O114" s="377">
        <f t="shared" si="67"/>
        <v>19.933409531198947</v>
      </c>
    </row>
    <row r="115" spans="1:21" ht="15.75" thickBot="1">
      <c r="A115" s="378">
        <f>A113/D3</f>
        <v>31.265784662439884</v>
      </c>
      <c r="B115" s="366" t="s">
        <v>347</v>
      </c>
      <c r="C115" s="365" t="str">
        <f>C113</f>
        <v>REFRIGERACION (Inicial)</v>
      </c>
      <c r="D115" s="379">
        <f>D113/$D$3</f>
        <v>0</v>
      </c>
      <c r="E115" s="379">
        <f t="shared" ref="E115:O115" si="68">E113/$D$3</f>
        <v>0</v>
      </c>
      <c r="F115" s="379">
        <f t="shared" si="68"/>
        <v>0</v>
      </c>
      <c r="G115" s="379">
        <f t="shared" si="68"/>
        <v>0</v>
      </c>
      <c r="H115" s="379">
        <f t="shared" si="68"/>
        <v>3.9349393727445596</v>
      </c>
      <c r="I115" s="379">
        <f t="shared" si="68"/>
        <v>5.854779021012658</v>
      </c>
      <c r="J115" s="379">
        <f t="shared" si="68"/>
        <v>9.3155526050960589</v>
      </c>
      <c r="K115" s="379">
        <f t="shared" si="68"/>
        <v>7.9669537961658143</v>
      </c>
      <c r="L115" s="379">
        <f t="shared" si="68"/>
        <v>4.1935598674207908</v>
      </c>
      <c r="M115" s="379">
        <f t="shared" si="68"/>
        <v>0</v>
      </c>
      <c r="N115" s="379">
        <f t="shared" si="68"/>
        <v>0</v>
      </c>
      <c r="O115" s="380">
        <f t="shared" si="68"/>
        <v>0</v>
      </c>
    </row>
    <row r="116" spans="1:21" ht="15">
      <c r="A116" s="246"/>
      <c r="B116" s="361" t="s">
        <v>131</v>
      </c>
      <c r="C116" s="362" t="s">
        <v>132</v>
      </c>
      <c r="D116" s="248" t="s">
        <v>133</v>
      </c>
      <c r="E116" s="110" t="s">
        <v>134</v>
      </c>
      <c r="F116" s="110" t="s">
        <v>144</v>
      </c>
      <c r="S116" s="223" t="s">
        <v>1356</v>
      </c>
      <c r="T116" s="363" t="s">
        <v>1358</v>
      </c>
      <c r="U116" s="223" t="s">
        <v>1355</v>
      </c>
    </row>
    <row r="117" spans="1:21" ht="15.75" thickBot="1">
      <c r="A117" s="204" t="s">
        <v>129</v>
      </c>
      <c r="B117" s="210">
        <f>A112</f>
        <v>166244.0791137777</v>
      </c>
      <c r="C117" s="143">
        <v>0.8</v>
      </c>
      <c r="D117" s="211">
        <f>B117/C117</f>
        <v>207805.0988922221</v>
      </c>
      <c r="S117" s="223" t="s">
        <v>1357</v>
      </c>
      <c r="T117" s="365" t="s">
        <v>1359</v>
      </c>
      <c r="U117" s="223" t="s">
        <v>1360</v>
      </c>
    </row>
    <row r="118" spans="1:21" ht="15.75" thickBot="1">
      <c r="A118" s="212" t="s">
        <v>130</v>
      </c>
      <c r="B118" s="213">
        <f>A113</f>
        <v>49478.104228311116</v>
      </c>
      <c r="C118" s="214">
        <v>2.2000000000000002</v>
      </c>
      <c r="D118" s="215">
        <f>B118/C118</f>
        <v>22490.047376505052</v>
      </c>
      <c r="S118" s="223" t="s">
        <v>1356</v>
      </c>
      <c r="T118" s="363" t="s">
        <v>1358</v>
      </c>
      <c r="U118" s="223" t="s">
        <v>1355</v>
      </c>
    </row>
    <row r="119" spans="1:21" ht="15.75" thickBot="1">
      <c r="B119" s="244">
        <f>SUM(B117:B118)</f>
        <v>215722.18334208883</v>
      </c>
      <c r="D119" s="216">
        <f>D117+D118</f>
        <v>230295.14626872714</v>
      </c>
      <c r="S119" s="223" t="s">
        <v>1357</v>
      </c>
      <c r="T119" s="365" t="s">
        <v>1359</v>
      </c>
      <c r="U119" s="223" t="s">
        <v>1361</v>
      </c>
    </row>
    <row r="121" spans="1:21">
      <c r="A121" s="110" t="s">
        <v>143</v>
      </c>
    </row>
    <row r="122" spans="1:21">
      <c r="A122" s="169" t="s">
        <v>135</v>
      </c>
      <c r="B122" s="169">
        <v>204</v>
      </c>
    </row>
    <row r="123" spans="1:21">
      <c r="A123" s="169" t="s">
        <v>136</v>
      </c>
      <c r="B123" s="169">
        <v>287</v>
      </c>
    </row>
    <row r="124" spans="1:21">
      <c r="A124" s="169" t="s">
        <v>137</v>
      </c>
      <c r="B124" s="169">
        <v>244</v>
      </c>
    </row>
    <row r="125" spans="1:21">
      <c r="A125" s="169" t="s">
        <v>138</v>
      </c>
      <c r="B125" s="169">
        <v>347</v>
      </c>
    </row>
    <row r="126" spans="1:21">
      <c r="A126" s="169" t="s">
        <v>139</v>
      </c>
      <c r="B126" s="169">
        <v>0</v>
      </c>
    </row>
    <row r="127" spans="1:21">
      <c r="A127" s="169" t="s">
        <v>140</v>
      </c>
      <c r="B127" s="169">
        <v>0</v>
      </c>
    </row>
    <row r="128" spans="1:21">
      <c r="A128" s="169" t="s">
        <v>141</v>
      </c>
      <c r="B128" s="169">
        <v>649</v>
      </c>
    </row>
    <row r="129" spans="1:16">
      <c r="A129" s="169" t="s">
        <v>142</v>
      </c>
      <c r="B129" s="169">
        <v>981</v>
      </c>
    </row>
    <row r="130" spans="1:16" ht="15" thickBot="1"/>
    <row r="131" spans="1:16" ht="15.75" thickBot="1">
      <c r="C131" s="147" t="s">
        <v>355</v>
      </c>
      <c r="D131" s="111" t="s">
        <v>832</v>
      </c>
      <c r="E131" s="112" t="s">
        <v>842</v>
      </c>
      <c r="F131" s="112" t="s">
        <v>833</v>
      </c>
      <c r="G131" s="112" t="s">
        <v>834</v>
      </c>
      <c r="H131" s="112" t="s">
        <v>835</v>
      </c>
      <c r="I131" s="112" t="s">
        <v>836</v>
      </c>
      <c r="J131" s="112" t="s">
        <v>837</v>
      </c>
      <c r="K131" s="112" t="s">
        <v>838</v>
      </c>
      <c r="L131" s="112" t="s">
        <v>839</v>
      </c>
      <c r="M131" s="112" t="s">
        <v>840</v>
      </c>
      <c r="N131" s="112" t="s">
        <v>841</v>
      </c>
      <c r="O131" s="113" t="s">
        <v>843</v>
      </c>
    </row>
    <row r="132" spans="1:16">
      <c r="C132" s="131" t="s">
        <v>285</v>
      </c>
      <c r="D132" s="132">
        <f t="shared" ref="D132:O132" si="69">IF(D112=0,0,D54*D43/1000)</f>
        <v>28146.944557400035</v>
      </c>
      <c r="E132" s="132">
        <f t="shared" si="69"/>
        <v>23566.194942399998</v>
      </c>
      <c r="F132" s="132">
        <f t="shared" si="69"/>
        <v>21966.827141599984</v>
      </c>
      <c r="G132" s="132">
        <f t="shared" si="69"/>
        <v>16618.662874500023</v>
      </c>
      <c r="H132" s="132">
        <f t="shared" si="69"/>
        <v>9493.0935745999923</v>
      </c>
      <c r="I132" s="132">
        <f t="shared" si="69"/>
        <v>0</v>
      </c>
      <c r="J132" s="132">
        <f t="shared" si="69"/>
        <v>0</v>
      </c>
      <c r="K132" s="132">
        <f t="shared" si="69"/>
        <v>0</v>
      </c>
      <c r="L132" s="132">
        <f t="shared" si="69"/>
        <v>0</v>
      </c>
      <c r="M132" s="132">
        <f t="shared" si="69"/>
        <v>7245.7444315000012</v>
      </c>
      <c r="N132" s="132">
        <f t="shared" si="69"/>
        <v>17485.8525587</v>
      </c>
      <c r="O132" s="132">
        <f t="shared" si="69"/>
        <v>25872.148007699998</v>
      </c>
    </row>
    <row r="133" spans="1:16">
      <c r="C133" s="381" t="s">
        <v>349</v>
      </c>
      <c r="D133" s="382">
        <f>IF(D112=0,0,$P$29*D43/1000)</f>
        <v>3172.7101854000034</v>
      </c>
      <c r="E133" s="382">
        <f t="shared" ref="E133:O133" si="70">IF(E112=0,0,$P$29*E43/1000)</f>
        <v>2656.3702703999998</v>
      </c>
      <c r="F133" s="382">
        <f t="shared" si="70"/>
        <v>2476.0902935999979</v>
      </c>
      <c r="G133" s="382">
        <f t="shared" si="70"/>
        <v>1873.2477645000026</v>
      </c>
      <c r="H133" s="382">
        <f t="shared" si="70"/>
        <v>1070.0569865999992</v>
      </c>
      <c r="I133" s="382">
        <f t="shared" si="70"/>
        <v>0</v>
      </c>
      <c r="J133" s="382">
        <f t="shared" si="70"/>
        <v>0</v>
      </c>
      <c r="K133" s="382">
        <f t="shared" si="70"/>
        <v>0</v>
      </c>
      <c r="L133" s="382">
        <f t="shared" si="70"/>
        <v>0</v>
      </c>
      <c r="M133" s="382">
        <f t="shared" si="70"/>
        <v>816.73686150000015</v>
      </c>
      <c r="N133" s="382">
        <f t="shared" si="70"/>
        <v>1970.9969727</v>
      </c>
      <c r="O133" s="382">
        <f t="shared" si="70"/>
        <v>2916.2962016999995</v>
      </c>
      <c r="P133" s="730">
        <f t="shared" ref="P133:P134" si="71">SUM(D133:O133)</f>
        <v>16952.505536400004</v>
      </c>
    </row>
    <row r="134" spans="1:16">
      <c r="C134" s="381" t="s">
        <v>350</v>
      </c>
      <c r="D134" s="382">
        <f>IF(D112=0,0,$P$30*D43/1000)</f>
        <v>24974.234372000032</v>
      </c>
      <c r="E134" s="382">
        <f t="shared" ref="E134:O134" si="72">IF(E112=0,0,$P$30*E43/1000)</f>
        <v>20909.824672000002</v>
      </c>
      <c r="F134" s="382">
        <f t="shared" si="72"/>
        <v>19490.736847999986</v>
      </c>
      <c r="G134" s="382">
        <f t="shared" si="72"/>
        <v>14745.415110000024</v>
      </c>
      <c r="H134" s="382">
        <f t="shared" si="72"/>
        <v>8423.0365879999954</v>
      </c>
      <c r="I134" s="382">
        <f t="shared" si="72"/>
        <v>0</v>
      </c>
      <c r="J134" s="382">
        <f t="shared" si="72"/>
        <v>0</v>
      </c>
      <c r="K134" s="382">
        <f t="shared" si="72"/>
        <v>0</v>
      </c>
      <c r="L134" s="382">
        <f t="shared" si="72"/>
        <v>0</v>
      </c>
      <c r="M134" s="382">
        <f t="shared" si="72"/>
        <v>6429.0075700000016</v>
      </c>
      <c r="N134" s="382">
        <f t="shared" si="72"/>
        <v>15514.855586000003</v>
      </c>
      <c r="O134" s="382">
        <f t="shared" si="72"/>
        <v>22955.851806000002</v>
      </c>
      <c r="P134" s="730">
        <f t="shared" si="71"/>
        <v>133442.96255200004</v>
      </c>
    </row>
    <row r="135" spans="1:16">
      <c r="C135" s="248" t="s">
        <v>286</v>
      </c>
      <c r="D135" s="132">
        <f t="shared" ref="D135:O135" si="73">IF(D112=0,0,IF(D55&lt;0,0,D55))</f>
        <v>5019.6936000000005</v>
      </c>
      <c r="E135" s="132">
        <f t="shared" si="73"/>
        <v>3989.1264000000001</v>
      </c>
      <c r="F135" s="132">
        <f t="shared" si="73"/>
        <v>3245.1047999999996</v>
      </c>
      <c r="G135" s="132">
        <f t="shared" si="73"/>
        <v>2064.6719999999996</v>
      </c>
      <c r="H135" s="132">
        <f t="shared" si="73"/>
        <v>34.893600000000141</v>
      </c>
      <c r="I135" s="132">
        <f t="shared" si="73"/>
        <v>0</v>
      </c>
      <c r="J135" s="132">
        <f t="shared" si="73"/>
        <v>0</v>
      </c>
      <c r="K135" s="132">
        <f t="shared" si="73"/>
        <v>0</v>
      </c>
      <c r="L135" s="132">
        <f t="shared" si="73"/>
        <v>0</v>
      </c>
      <c r="M135" s="132">
        <f t="shared" si="73"/>
        <v>2093.6159999999995</v>
      </c>
      <c r="N135" s="132">
        <f t="shared" si="73"/>
        <v>3564.9360000000006</v>
      </c>
      <c r="O135" s="132">
        <f t="shared" si="73"/>
        <v>4735.5600000000004</v>
      </c>
      <c r="P135" s="730"/>
    </row>
    <row r="136" spans="1:16">
      <c r="C136" s="133" t="s">
        <v>287</v>
      </c>
      <c r="D136" s="134">
        <f t="shared" ref="D136:O136" si="74">IF(D112=0,0,D58*D43/1000)</f>
        <v>5512.1124105000081</v>
      </c>
      <c r="E136" s="134">
        <f t="shared" si="74"/>
        <v>4615.0485480000007</v>
      </c>
      <c r="F136" s="134">
        <f t="shared" si="74"/>
        <v>4301.8388819999973</v>
      </c>
      <c r="G136" s="134">
        <f t="shared" si="74"/>
        <v>3254.4895837500053</v>
      </c>
      <c r="H136" s="134">
        <f t="shared" si="74"/>
        <v>1859.0649794999993</v>
      </c>
      <c r="I136" s="134">
        <f t="shared" si="74"/>
        <v>0</v>
      </c>
      <c r="J136" s="134">
        <f t="shared" si="74"/>
        <v>0</v>
      </c>
      <c r="K136" s="134">
        <f t="shared" si="74"/>
        <v>0</v>
      </c>
      <c r="L136" s="134">
        <f t="shared" si="74"/>
        <v>0</v>
      </c>
      <c r="M136" s="134">
        <f t="shared" si="74"/>
        <v>1418.9589112500005</v>
      </c>
      <c r="N136" s="134">
        <f t="shared" si="74"/>
        <v>3424.3143052500013</v>
      </c>
      <c r="O136" s="134">
        <f t="shared" si="74"/>
        <v>5066.6312227500002</v>
      </c>
      <c r="P136" s="730"/>
    </row>
    <row r="137" spans="1:16">
      <c r="C137" s="133" t="s">
        <v>288</v>
      </c>
      <c r="D137" s="134">
        <f>IF(D112=0,0,-D105*D88)</f>
        <v>-2175.1340969066091</v>
      </c>
      <c r="E137" s="134">
        <f t="shared" ref="E137:O137" si="75">IF(E112=0,0,-E105*E88)</f>
        <v>-2608.0506087426961</v>
      </c>
      <c r="F137" s="134">
        <f t="shared" si="75"/>
        <v>-3555.491792397575</v>
      </c>
      <c r="G137" s="134">
        <f t="shared" si="75"/>
        <v>-3910.4269483830294</v>
      </c>
      <c r="H137" s="134">
        <f t="shared" si="75"/>
        <v>-3421.2348340083126</v>
      </c>
      <c r="I137" s="134">
        <f t="shared" si="75"/>
        <v>0</v>
      </c>
      <c r="J137" s="134">
        <f t="shared" si="75"/>
        <v>0</v>
      </c>
      <c r="K137" s="134">
        <f t="shared" si="75"/>
        <v>0</v>
      </c>
      <c r="L137" s="134">
        <f t="shared" si="75"/>
        <v>0</v>
      </c>
      <c r="M137" s="134">
        <f t="shared" si="75"/>
        <v>-2092.8167271731613</v>
      </c>
      <c r="N137" s="134">
        <f t="shared" si="75"/>
        <v>-2156.8909178301365</v>
      </c>
      <c r="O137" s="134">
        <f t="shared" si="75"/>
        <v>-1990.9544943156252</v>
      </c>
      <c r="P137" s="730"/>
    </row>
    <row r="138" spans="1:16">
      <c r="C138" s="133" t="s">
        <v>284</v>
      </c>
      <c r="D138" s="134">
        <f>IF(D112=0,0,-D105*D80)</f>
        <v>-2095.5089564948471</v>
      </c>
      <c r="E138" s="134">
        <f t="shared" ref="E138:O138" si="76">IF(E112=0,0,-E105*E80)</f>
        <v>-1833.8723144578937</v>
      </c>
      <c r="F138" s="134">
        <f t="shared" si="76"/>
        <v>-1917.0290980434411</v>
      </c>
      <c r="G138" s="134">
        <f t="shared" si="76"/>
        <v>-1681.4496740463765</v>
      </c>
      <c r="H138" s="134">
        <f t="shared" si="76"/>
        <v>-1249.7085352127599</v>
      </c>
      <c r="I138" s="134">
        <f t="shared" si="76"/>
        <v>0</v>
      </c>
      <c r="J138" s="134">
        <f t="shared" si="76"/>
        <v>0</v>
      </c>
      <c r="K138" s="134">
        <f t="shared" si="76"/>
        <v>0</v>
      </c>
      <c r="L138" s="134">
        <f t="shared" si="76"/>
        <v>0</v>
      </c>
      <c r="M138" s="134">
        <f t="shared" si="76"/>
        <v>-1318.799260762213</v>
      </c>
      <c r="N138" s="134">
        <f t="shared" si="76"/>
        <v>-1896.9644688979547</v>
      </c>
      <c r="O138" s="134">
        <f t="shared" si="76"/>
        <v>-2083.4301995633982</v>
      </c>
      <c r="P138" s="730"/>
    </row>
    <row r="139" spans="1:16">
      <c r="C139" s="133" t="s">
        <v>289</v>
      </c>
      <c r="D139" s="134">
        <f t="shared" ref="D139:O139" si="77">IF(D112=0,0,-D105*D54*D44/1000)</f>
        <v>-6.6014975030284564</v>
      </c>
      <c r="E139" s="134">
        <f t="shared" si="77"/>
        <v>-7.6755047465657853</v>
      </c>
      <c r="F139" s="134">
        <f t="shared" si="77"/>
        <v>-28.988309150750872</v>
      </c>
      <c r="G139" s="134">
        <f t="shared" si="77"/>
        <v>-148.06231105877623</v>
      </c>
      <c r="H139" s="134">
        <f t="shared" si="77"/>
        <v>-572.04117784920516</v>
      </c>
      <c r="I139" s="134">
        <f t="shared" si="77"/>
        <v>0</v>
      </c>
      <c r="J139" s="134">
        <f t="shared" si="77"/>
        <v>0</v>
      </c>
      <c r="K139" s="134">
        <f t="shared" si="77"/>
        <v>0</v>
      </c>
      <c r="L139" s="134">
        <f t="shared" si="77"/>
        <v>0</v>
      </c>
      <c r="M139" s="134">
        <f t="shared" si="77"/>
        <v>-1113.8544671843431</v>
      </c>
      <c r="N139" s="134">
        <f t="shared" si="77"/>
        <v>-53.106909482814402</v>
      </c>
      <c r="O139" s="134">
        <f t="shared" si="77"/>
        <v>-46.272292219767948</v>
      </c>
      <c r="P139" s="730"/>
    </row>
    <row r="140" spans="1:16">
      <c r="C140" s="383" t="s">
        <v>351</v>
      </c>
      <c r="D140" s="384">
        <f>IF(D112=0,0,-D105*$P$29*D44/1000)</f>
        <v>-0.7441176545482121</v>
      </c>
      <c r="E140" s="384">
        <f t="shared" ref="E140:O140" si="78">IF(E112=0,0,-E105*$P$29*E44/1000)</f>
        <v>-0.86517923953891418</v>
      </c>
      <c r="F140" s="384">
        <f t="shared" si="78"/>
        <v>-3.2675484016588032</v>
      </c>
      <c r="G140" s="384">
        <f t="shared" si="78"/>
        <v>-16.689513187197438</v>
      </c>
      <c r="H140" s="384">
        <f t="shared" si="78"/>
        <v>-64.480209129954488</v>
      </c>
      <c r="I140" s="384">
        <f t="shared" si="78"/>
        <v>0</v>
      </c>
      <c r="J140" s="384">
        <f t="shared" si="78"/>
        <v>0</v>
      </c>
      <c r="K140" s="384">
        <f t="shared" si="78"/>
        <v>0</v>
      </c>
      <c r="L140" s="384">
        <f t="shared" si="78"/>
        <v>0</v>
      </c>
      <c r="M140" s="384">
        <f t="shared" si="78"/>
        <v>-125.55314506277244</v>
      </c>
      <c r="N140" s="384">
        <f t="shared" si="78"/>
        <v>-5.9861855444961014</v>
      </c>
      <c r="O140" s="384">
        <f t="shared" si="78"/>
        <v>-5.2157907416230058</v>
      </c>
      <c r="P140" s="730">
        <f t="shared" ref="P140:P141" si="79">SUM(D140:O140)</f>
        <v>-222.80168896178941</v>
      </c>
    </row>
    <row r="141" spans="1:16">
      <c r="C141" s="383" t="s">
        <v>352</v>
      </c>
      <c r="D141" s="384">
        <f>IF(D112=0,0,-D105*$P$30*D44/1000)</f>
        <v>-5.857379848480246</v>
      </c>
      <c r="E141" s="384">
        <f t="shared" ref="E141:O141" si="80">IF(E112=0,0,-E105*$P$30*E44/1000)</f>
        <v>-6.8103255070268718</v>
      </c>
      <c r="F141" s="384">
        <f t="shared" si="80"/>
        <v>-25.720760749092076</v>
      </c>
      <c r="G141" s="384">
        <f t="shared" si="80"/>
        <v>-131.3727978715788</v>
      </c>
      <c r="H141" s="384">
        <f t="shared" si="80"/>
        <v>-507.56096871925075</v>
      </c>
      <c r="I141" s="384">
        <f t="shared" si="80"/>
        <v>0</v>
      </c>
      <c r="J141" s="384">
        <f t="shared" si="80"/>
        <v>0</v>
      </c>
      <c r="K141" s="384">
        <f t="shared" si="80"/>
        <v>0</v>
      </c>
      <c r="L141" s="384">
        <f t="shared" si="80"/>
        <v>0</v>
      </c>
      <c r="M141" s="384">
        <f t="shared" si="80"/>
        <v>-988.30132212157082</v>
      </c>
      <c r="N141" s="384">
        <f t="shared" si="80"/>
        <v>-47.120723938318307</v>
      </c>
      <c r="O141" s="384">
        <f t="shared" si="80"/>
        <v>-41.056501478144952</v>
      </c>
      <c r="P141" s="730">
        <f t="shared" si="79"/>
        <v>-1753.800780233463</v>
      </c>
    </row>
    <row r="142" spans="1:16">
      <c r="C142" s="249" t="s">
        <v>290</v>
      </c>
      <c r="D142" s="145">
        <f t="shared" ref="D142:O142" si="81">IF(D112=0,0,IF(D55&lt;0,D55*D105,0))</f>
        <v>0</v>
      </c>
      <c r="E142" s="145">
        <f t="shared" si="81"/>
        <v>0</v>
      </c>
      <c r="F142" s="145">
        <f t="shared" si="81"/>
        <v>0</v>
      </c>
      <c r="G142" s="145">
        <f t="shared" si="81"/>
        <v>0</v>
      </c>
      <c r="H142" s="145">
        <f t="shared" si="81"/>
        <v>0</v>
      </c>
      <c r="I142" s="145">
        <f t="shared" si="81"/>
        <v>0</v>
      </c>
      <c r="J142" s="145">
        <f t="shared" si="81"/>
        <v>0</v>
      </c>
      <c r="K142" s="145">
        <f t="shared" si="81"/>
        <v>0</v>
      </c>
      <c r="L142" s="145">
        <f t="shared" si="81"/>
        <v>0</v>
      </c>
      <c r="M142" s="145">
        <f t="shared" si="81"/>
        <v>0</v>
      </c>
      <c r="N142" s="145">
        <f t="shared" si="81"/>
        <v>0</v>
      </c>
      <c r="O142" s="145">
        <f t="shared" si="81"/>
        <v>0</v>
      </c>
      <c r="P142" s="730"/>
    </row>
    <row r="143" spans="1:16" ht="15" thickBot="1">
      <c r="C143" s="136" t="s">
        <v>291</v>
      </c>
      <c r="D143" s="137">
        <f t="shared" ref="D143:O143" si="82">IF(D112=0,0,-D105*D58*D44/1000)</f>
        <v>-1.2927938320310954</v>
      </c>
      <c r="E143" s="137">
        <f t="shared" si="82"/>
        <v>-1.5031203434574516</v>
      </c>
      <c r="F143" s="137">
        <f t="shared" si="82"/>
        <v>-5.676879716141543</v>
      </c>
      <c r="G143" s="137">
        <f t="shared" si="82"/>
        <v>-28.995548722883495</v>
      </c>
      <c r="H143" s="137">
        <f t="shared" si="82"/>
        <v>-112.02478014298923</v>
      </c>
      <c r="I143" s="137">
        <f t="shared" si="82"/>
        <v>0</v>
      </c>
      <c r="J143" s="137">
        <f t="shared" si="82"/>
        <v>0</v>
      </c>
      <c r="K143" s="137">
        <f t="shared" si="82"/>
        <v>0</v>
      </c>
      <c r="L143" s="137">
        <f t="shared" si="82"/>
        <v>0</v>
      </c>
      <c r="M143" s="137">
        <f t="shared" si="82"/>
        <v>-218.12992950396537</v>
      </c>
      <c r="N143" s="137">
        <f t="shared" si="82"/>
        <v>-10.400107700733031</v>
      </c>
      <c r="O143" s="137">
        <f t="shared" si="82"/>
        <v>-9.0616612288671767</v>
      </c>
      <c r="P143" s="730"/>
    </row>
    <row r="144" spans="1:16" ht="15.75" thickBot="1">
      <c r="C144" s="109" t="s">
        <v>33</v>
      </c>
      <c r="D144" s="139">
        <f>D132+SUM(D135:D139)+D142+D143</f>
        <v>34400.213223163526</v>
      </c>
      <c r="E144" s="139">
        <f t="shared" ref="E144:O144" si="83">E132+SUM(E135:E139)+E142+E143</f>
        <v>27719.268342109383</v>
      </c>
      <c r="F144" s="139">
        <f t="shared" si="83"/>
        <v>24006.584744292071</v>
      </c>
      <c r="G144" s="139">
        <f t="shared" si="83"/>
        <v>16168.889976038963</v>
      </c>
      <c r="H144" s="139">
        <f t="shared" si="83"/>
        <v>6032.0428268867245</v>
      </c>
      <c r="I144" s="139">
        <f t="shared" si="83"/>
        <v>0</v>
      </c>
      <c r="J144" s="139">
        <f t="shared" si="83"/>
        <v>0</v>
      </c>
      <c r="K144" s="139">
        <f t="shared" si="83"/>
        <v>0</v>
      </c>
      <c r="L144" s="139">
        <f t="shared" si="83"/>
        <v>0</v>
      </c>
      <c r="M144" s="139">
        <f t="shared" si="83"/>
        <v>6014.7189581263183</v>
      </c>
      <c r="N144" s="139">
        <f t="shared" si="83"/>
        <v>20357.740460038363</v>
      </c>
      <c r="O144" s="139">
        <f t="shared" si="83"/>
        <v>31544.620583122338</v>
      </c>
      <c r="P144" s="730"/>
    </row>
    <row r="145" spans="3:16" ht="15" thickBot="1">
      <c r="C145" s="110" t="s">
        <v>229</v>
      </c>
      <c r="D145" s="140">
        <f>D144-D112</f>
        <v>0</v>
      </c>
      <c r="E145" s="140">
        <f t="shared" ref="E145:O145" si="84">E144-E112</f>
        <v>0</v>
      </c>
      <c r="F145" s="140">
        <f t="shared" si="84"/>
        <v>0</v>
      </c>
      <c r="G145" s="140">
        <f t="shared" si="84"/>
        <v>0</v>
      </c>
      <c r="H145" s="140">
        <f t="shared" si="84"/>
        <v>0</v>
      </c>
      <c r="I145" s="140">
        <f t="shared" si="84"/>
        <v>0</v>
      </c>
      <c r="J145" s="140">
        <f t="shared" si="84"/>
        <v>0</v>
      </c>
      <c r="K145" s="140">
        <f t="shared" si="84"/>
        <v>0</v>
      </c>
      <c r="L145" s="140">
        <f t="shared" si="84"/>
        <v>0</v>
      </c>
      <c r="M145" s="140">
        <f t="shared" si="84"/>
        <v>0</v>
      </c>
      <c r="N145" s="140">
        <f t="shared" si="84"/>
        <v>0</v>
      </c>
      <c r="O145" s="140">
        <f t="shared" si="84"/>
        <v>0</v>
      </c>
      <c r="P145" s="730"/>
    </row>
    <row r="146" spans="3:16" ht="15.75" thickBot="1">
      <c r="C146" s="147" t="s">
        <v>356</v>
      </c>
      <c r="D146" s="111" t="s">
        <v>832</v>
      </c>
      <c r="E146" s="112" t="s">
        <v>842</v>
      </c>
      <c r="F146" s="112" t="s">
        <v>833</v>
      </c>
      <c r="G146" s="112" t="s">
        <v>834</v>
      </c>
      <c r="H146" s="112" t="s">
        <v>835</v>
      </c>
      <c r="I146" s="112" t="s">
        <v>836</v>
      </c>
      <c r="J146" s="112" t="s">
        <v>837</v>
      </c>
      <c r="K146" s="112" t="s">
        <v>838</v>
      </c>
      <c r="L146" s="112" t="s">
        <v>839</v>
      </c>
      <c r="M146" s="112" t="s">
        <v>840</v>
      </c>
      <c r="N146" s="112" t="s">
        <v>841</v>
      </c>
      <c r="O146" s="113" t="s">
        <v>843</v>
      </c>
      <c r="P146" s="730"/>
    </row>
    <row r="147" spans="3:16">
      <c r="C147" s="131" t="s">
        <v>285</v>
      </c>
      <c r="D147" s="132">
        <f t="shared" ref="D147:O147" si="85">IF(D113=0,0,-D106*D56*D46/1000)</f>
        <v>0</v>
      </c>
      <c r="E147" s="132">
        <f t="shared" si="85"/>
        <v>0</v>
      </c>
      <c r="F147" s="132">
        <f t="shared" si="85"/>
        <v>0</v>
      </c>
      <c r="G147" s="132">
        <f t="shared" si="85"/>
        <v>0</v>
      </c>
      <c r="H147" s="132">
        <f t="shared" si="85"/>
        <v>-7427.0432399250794</v>
      </c>
      <c r="I147" s="132">
        <f t="shared" si="85"/>
        <v>-6473.4562717193521</v>
      </c>
      <c r="J147" s="132">
        <f t="shared" si="85"/>
        <v>-5205.642517949068</v>
      </c>
      <c r="K147" s="132">
        <f t="shared" si="85"/>
        <v>-4830.1639587367154</v>
      </c>
      <c r="L147" s="132">
        <f t="shared" si="85"/>
        <v>-4893.1548330829601</v>
      </c>
      <c r="M147" s="132">
        <f t="shared" si="85"/>
        <v>0</v>
      </c>
      <c r="N147" s="132">
        <f t="shared" si="85"/>
        <v>0</v>
      </c>
      <c r="O147" s="132">
        <f t="shared" si="85"/>
        <v>0</v>
      </c>
      <c r="P147" s="730"/>
    </row>
    <row r="148" spans="3:16">
      <c r="C148" s="381" t="s">
        <v>349</v>
      </c>
      <c r="D148" s="382">
        <f>IF(D113=0,0,-D106*$P$29*D46/1000)</f>
        <v>0</v>
      </c>
      <c r="E148" s="382">
        <f t="shared" ref="E148:O148" si="86">IF(E113=0,0,-E106*$P$29*E46/1000)</f>
        <v>0</v>
      </c>
      <c r="F148" s="382">
        <f t="shared" si="86"/>
        <v>0</v>
      </c>
      <c r="G148" s="382">
        <f t="shared" si="86"/>
        <v>0</v>
      </c>
      <c r="H148" s="382">
        <f t="shared" si="86"/>
        <v>-837.17277684129442</v>
      </c>
      <c r="I148" s="382">
        <f t="shared" si="86"/>
        <v>-729.68490793526757</v>
      </c>
      <c r="J148" s="382">
        <f t="shared" si="86"/>
        <v>-586.77754541233708</v>
      </c>
      <c r="K148" s="382">
        <f t="shared" si="86"/>
        <v>-544.45378104128895</v>
      </c>
      <c r="L148" s="382">
        <f t="shared" si="86"/>
        <v>-551.55408239790791</v>
      </c>
      <c r="M148" s="382">
        <f t="shared" si="86"/>
        <v>0</v>
      </c>
      <c r="N148" s="382">
        <f t="shared" si="86"/>
        <v>0</v>
      </c>
      <c r="O148" s="382">
        <f t="shared" si="86"/>
        <v>0</v>
      </c>
      <c r="P148" s="730">
        <f t="shared" ref="P148:P149" si="87">SUM(D148:O148)</f>
        <v>-3249.6430936280958</v>
      </c>
    </row>
    <row r="149" spans="3:16">
      <c r="C149" s="381" t="s">
        <v>350</v>
      </c>
      <c r="D149" s="382">
        <f>IF(D113=0,0,-D106*$P$30*D46/1000)</f>
        <v>0</v>
      </c>
      <c r="E149" s="382">
        <f t="shared" ref="E149:O149" si="88">IF(E113=0,0,-E106*$P$30*E46/1000)</f>
        <v>0</v>
      </c>
      <c r="F149" s="382">
        <f t="shared" si="88"/>
        <v>0</v>
      </c>
      <c r="G149" s="382">
        <f t="shared" si="88"/>
        <v>0</v>
      </c>
      <c r="H149" s="382">
        <f t="shared" si="88"/>
        <v>-6589.8704630837847</v>
      </c>
      <c r="I149" s="382">
        <f t="shared" si="88"/>
        <v>-5743.7713637840852</v>
      </c>
      <c r="J149" s="382">
        <f t="shared" si="88"/>
        <v>-4618.8649725367322</v>
      </c>
      <c r="K149" s="382">
        <f t="shared" si="88"/>
        <v>-4285.7101776954269</v>
      </c>
      <c r="L149" s="382">
        <f t="shared" si="88"/>
        <v>-4341.6007506850528</v>
      </c>
      <c r="M149" s="382">
        <f t="shared" si="88"/>
        <v>0</v>
      </c>
      <c r="N149" s="382">
        <f t="shared" si="88"/>
        <v>0</v>
      </c>
      <c r="O149" s="382">
        <f t="shared" si="88"/>
        <v>0</v>
      </c>
      <c r="P149" s="730">
        <f t="shared" si="87"/>
        <v>-25579.817727785085</v>
      </c>
    </row>
    <row r="150" spans="3:16">
      <c r="C150" s="248" t="s">
        <v>286</v>
      </c>
      <c r="D150" s="132">
        <f t="shared" ref="D150:O150" si="89">IF(D113=0,0,IF(D57&lt;0,D57*D106,0))</f>
        <v>0</v>
      </c>
      <c r="E150" s="132">
        <f t="shared" si="89"/>
        <v>0</v>
      </c>
      <c r="F150" s="132">
        <f t="shared" si="89"/>
        <v>0</v>
      </c>
      <c r="G150" s="132">
        <f t="shared" si="89"/>
        <v>0</v>
      </c>
      <c r="H150" s="132">
        <f t="shared" si="89"/>
        <v>-943.83862155643749</v>
      </c>
      <c r="I150" s="132">
        <f t="shared" si="89"/>
        <v>-896.45249221035249</v>
      </c>
      <c r="J150" s="132">
        <f t="shared" si="89"/>
        <v>-1147.1140878487124</v>
      </c>
      <c r="K150" s="132">
        <f t="shared" si="89"/>
        <v>-1380.4978000766432</v>
      </c>
      <c r="L150" s="132">
        <f t="shared" si="89"/>
        <v>-1370.0346345769597</v>
      </c>
      <c r="M150" s="132">
        <f t="shared" si="89"/>
        <v>0</v>
      </c>
      <c r="N150" s="132">
        <f t="shared" si="89"/>
        <v>0</v>
      </c>
      <c r="O150" s="132">
        <f t="shared" si="89"/>
        <v>0</v>
      </c>
      <c r="P150" s="730"/>
    </row>
    <row r="151" spans="3:16">
      <c r="C151" s="133" t="s">
        <v>287</v>
      </c>
      <c r="D151" s="134">
        <f t="shared" ref="D151:O151" si="90">IF(D113=0,0,-D106*D59*D46/1000)</f>
        <v>0</v>
      </c>
      <c r="E151" s="134">
        <f t="shared" si="90"/>
        <v>0</v>
      </c>
      <c r="F151" s="134">
        <f t="shared" si="90"/>
        <v>0</v>
      </c>
      <c r="G151" s="134">
        <f t="shared" si="90"/>
        <v>0</v>
      </c>
      <c r="H151" s="134">
        <f t="shared" si="90"/>
        <v>-8726.7796614922045</v>
      </c>
      <c r="I151" s="134">
        <f t="shared" si="90"/>
        <v>-7606.3144789459266</v>
      </c>
      <c r="J151" s="134">
        <f t="shared" si="90"/>
        <v>-6116.632660279929</v>
      </c>
      <c r="K151" s="134">
        <f t="shared" si="90"/>
        <v>-5675.4451583348318</v>
      </c>
      <c r="L151" s="134">
        <f t="shared" si="90"/>
        <v>-5749.4594683834648</v>
      </c>
      <c r="M151" s="134">
        <f t="shared" si="90"/>
        <v>0</v>
      </c>
      <c r="N151" s="134">
        <f t="shared" si="90"/>
        <v>0</v>
      </c>
      <c r="O151" s="134">
        <f t="shared" si="90"/>
        <v>0</v>
      </c>
      <c r="P151" s="730"/>
    </row>
    <row r="152" spans="3:16">
      <c r="C152" s="133" t="s">
        <v>288</v>
      </c>
      <c r="D152" s="134">
        <f>IF(D113=0,0,D96)</f>
        <v>0</v>
      </c>
      <c r="E152" s="134">
        <f t="shared" ref="E152:O152" si="91">IF(E113=0,0,E96)</f>
        <v>0</v>
      </c>
      <c r="F152" s="134">
        <f t="shared" si="91"/>
        <v>0</v>
      </c>
      <c r="G152" s="134">
        <f t="shared" si="91"/>
        <v>0</v>
      </c>
      <c r="H152" s="134">
        <f t="shared" si="91"/>
        <v>20969.943080341985</v>
      </c>
      <c r="I152" s="134">
        <f t="shared" si="91"/>
        <v>21862.369274728164</v>
      </c>
      <c r="J152" s="134">
        <f t="shared" si="91"/>
        <v>23738.751185642221</v>
      </c>
      <c r="K152" s="134">
        <f t="shared" si="91"/>
        <v>20803.972873080587</v>
      </c>
      <c r="L152" s="134">
        <f t="shared" si="91"/>
        <v>15770.481003436786</v>
      </c>
      <c r="M152" s="134">
        <f t="shared" si="91"/>
        <v>0</v>
      </c>
      <c r="N152" s="134">
        <f t="shared" si="91"/>
        <v>0</v>
      </c>
      <c r="O152" s="134">
        <f t="shared" si="91"/>
        <v>0</v>
      </c>
      <c r="P152" s="730"/>
    </row>
    <row r="153" spans="3:16">
      <c r="C153" s="133" t="s">
        <v>284</v>
      </c>
      <c r="D153" s="134">
        <f>IF(D113=0,0,D80)</f>
        <v>0</v>
      </c>
      <c r="E153" s="134">
        <f t="shared" ref="E153:O153" si="92">IF(E113=0,0,E80)</f>
        <v>0</v>
      </c>
      <c r="F153" s="134">
        <f t="shared" si="92"/>
        <v>0</v>
      </c>
      <c r="G153" s="134">
        <f t="shared" si="92"/>
        <v>0</v>
      </c>
      <c r="H153" s="134">
        <f t="shared" si="92"/>
        <v>2354.7600000000002</v>
      </c>
      <c r="I153" s="134">
        <f t="shared" si="92"/>
        <v>2278.8000000000002</v>
      </c>
      <c r="J153" s="134">
        <f t="shared" si="92"/>
        <v>2354.7600000000002</v>
      </c>
      <c r="K153" s="134">
        <f t="shared" si="92"/>
        <v>2354.7600000000002</v>
      </c>
      <c r="L153" s="134">
        <f t="shared" si="92"/>
        <v>2278.8000000000002</v>
      </c>
      <c r="M153" s="134">
        <f t="shared" si="92"/>
        <v>0</v>
      </c>
      <c r="N153" s="134">
        <f t="shared" si="92"/>
        <v>0</v>
      </c>
      <c r="O153" s="134">
        <f t="shared" si="92"/>
        <v>0</v>
      </c>
      <c r="P153" s="730"/>
    </row>
    <row r="154" spans="3:16">
      <c r="C154" s="133" t="s">
        <v>289</v>
      </c>
      <c r="D154" s="134">
        <f t="shared" ref="D154:O154" si="93">IF(D113=0,0,D56*D45/1000)</f>
        <v>0</v>
      </c>
      <c r="E154" s="134">
        <f t="shared" si="93"/>
        <v>0</v>
      </c>
      <c r="F154" s="134">
        <f t="shared" si="93"/>
        <v>0</v>
      </c>
      <c r="G154" s="134">
        <f t="shared" si="93"/>
        <v>0</v>
      </c>
      <c r="H154" s="134">
        <f t="shared" si="93"/>
        <v>0</v>
      </c>
      <c r="I154" s="134">
        <f t="shared" si="93"/>
        <v>83.825863400000003</v>
      </c>
      <c r="J154" s="134">
        <f t="shared" si="93"/>
        <v>934.69546800000001</v>
      </c>
      <c r="K154" s="134">
        <f t="shared" si="93"/>
        <v>1116.4418090000006</v>
      </c>
      <c r="L154" s="134">
        <f t="shared" si="93"/>
        <v>501.47153680000008</v>
      </c>
      <c r="M154" s="134">
        <f t="shared" si="93"/>
        <v>0</v>
      </c>
      <c r="N154" s="134">
        <f t="shared" si="93"/>
        <v>0</v>
      </c>
      <c r="O154" s="134">
        <f t="shared" si="93"/>
        <v>0</v>
      </c>
      <c r="P154" s="730"/>
    </row>
    <row r="155" spans="3:16">
      <c r="C155" s="383" t="s">
        <v>351</v>
      </c>
      <c r="D155" s="384">
        <f>IF(D113=0,0,$P$29*D45/1000)</f>
        <v>0</v>
      </c>
      <c r="E155" s="384">
        <f t="shared" ref="E155:O155" si="94">IF(E113=0,0,$P$29*E45/1000)</f>
        <v>0</v>
      </c>
      <c r="F155" s="384">
        <f t="shared" si="94"/>
        <v>0</v>
      </c>
      <c r="G155" s="384">
        <f t="shared" si="94"/>
        <v>0</v>
      </c>
      <c r="H155" s="384">
        <f t="shared" si="94"/>
        <v>0</v>
      </c>
      <c r="I155" s="384">
        <f t="shared" si="94"/>
        <v>9.4488114000000003</v>
      </c>
      <c r="J155" s="384">
        <f t="shared" si="94"/>
        <v>105.358428</v>
      </c>
      <c r="K155" s="384">
        <f t="shared" si="94"/>
        <v>125.84478900000008</v>
      </c>
      <c r="L155" s="384">
        <f t="shared" si="94"/>
        <v>56.525632800000004</v>
      </c>
      <c r="M155" s="384">
        <f t="shared" si="94"/>
        <v>0</v>
      </c>
      <c r="N155" s="384">
        <f t="shared" si="94"/>
        <v>0</v>
      </c>
      <c r="O155" s="384">
        <f t="shared" si="94"/>
        <v>0</v>
      </c>
      <c r="P155" s="730">
        <f t="shared" ref="P155:P156" si="95">SUM(D155:O155)</f>
        <v>297.17766120000005</v>
      </c>
    </row>
    <row r="156" spans="3:16">
      <c r="C156" s="383" t="s">
        <v>483</v>
      </c>
      <c r="D156" s="384">
        <f>IF(D113=0,0,$P$30*D45/1000)</f>
        <v>0</v>
      </c>
      <c r="E156" s="384">
        <f t="shared" ref="E156:O156" si="96">IF(E113=0,0,$P$30*E45/1000)</f>
        <v>0</v>
      </c>
      <c r="F156" s="384">
        <f t="shared" si="96"/>
        <v>0</v>
      </c>
      <c r="G156" s="384">
        <f t="shared" si="96"/>
        <v>0</v>
      </c>
      <c r="H156" s="384">
        <f t="shared" si="96"/>
        <v>0</v>
      </c>
      <c r="I156" s="384">
        <f t="shared" si="96"/>
        <v>74.377052000000006</v>
      </c>
      <c r="J156" s="384">
        <f t="shared" si="96"/>
        <v>829.33704000000012</v>
      </c>
      <c r="K156" s="384">
        <f t="shared" si="96"/>
        <v>990.59702000000073</v>
      </c>
      <c r="L156" s="384">
        <f t="shared" si="96"/>
        <v>444.9459040000001</v>
      </c>
      <c r="M156" s="384">
        <f t="shared" si="96"/>
        <v>0</v>
      </c>
      <c r="N156" s="384">
        <f t="shared" si="96"/>
        <v>0</v>
      </c>
      <c r="O156" s="384">
        <f t="shared" si="96"/>
        <v>0</v>
      </c>
      <c r="P156" s="730">
        <f t="shared" si="95"/>
        <v>2339.2570160000009</v>
      </c>
    </row>
    <row r="157" spans="3:16">
      <c r="C157" s="249" t="s">
        <v>290</v>
      </c>
      <c r="D157" s="145">
        <f t="shared" ref="D157:O157" si="97">IF(D113=0,0,IF(D57&lt;0,0,D57))</f>
        <v>0</v>
      </c>
      <c r="E157" s="145">
        <f t="shared" si="97"/>
        <v>0</v>
      </c>
      <c r="F157" s="145">
        <f t="shared" si="97"/>
        <v>0</v>
      </c>
      <c r="G157" s="145">
        <f t="shared" si="97"/>
        <v>0</v>
      </c>
      <c r="H157" s="145">
        <f t="shared" si="97"/>
        <v>0</v>
      </c>
      <c r="I157" s="145">
        <f t="shared" si="97"/>
        <v>0</v>
      </c>
      <c r="J157" s="145">
        <f t="shared" si="97"/>
        <v>0</v>
      </c>
      <c r="K157" s="145">
        <f t="shared" si="97"/>
        <v>0</v>
      </c>
      <c r="L157" s="145">
        <f t="shared" si="97"/>
        <v>0</v>
      </c>
      <c r="M157" s="145">
        <f t="shared" si="97"/>
        <v>0</v>
      </c>
      <c r="N157" s="145">
        <f t="shared" si="97"/>
        <v>0</v>
      </c>
      <c r="O157" s="145">
        <f t="shared" si="97"/>
        <v>0</v>
      </c>
    </row>
    <row r="158" spans="3:16" ht="15" thickBot="1">
      <c r="C158" s="136" t="s">
        <v>291</v>
      </c>
      <c r="D158" s="145">
        <f t="shared" ref="D158:O158" si="98">IF(D113=0,0,D58*D45/1000)</f>
        <v>0</v>
      </c>
      <c r="E158" s="145">
        <f t="shared" si="98"/>
        <v>0</v>
      </c>
      <c r="F158" s="145">
        <f t="shared" si="98"/>
        <v>0</v>
      </c>
      <c r="G158" s="145">
        <f t="shared" si="98"/>
        <v>0</v>
      </c>
      <c r="H158" s="145">
        <f t="shared" si="98"/>
        <v>0</v>
      </c>
      <c r="I158" s="145">
        <f t="shared" si="98"/>
        <v>16.415905500000004</v>
      </c>
      <c r="J158" s="145">
        <f t="shared" si="98"/>
        <v>183.04461000000003</v>
      </c>
      <c r="K158" s="145">
        <f t="shared" si="98"/>
        <v>218.63661750000017</v>
      </c>
      <c r="L158" s="145">
        <f t="shared" si="98"/>
        <v>98.204886000000045</v>
      </c>
      <c r="M158" s="145">
        <f t="shared" si="98"/>
        <v>0</v>
      </c>
      <c r="N158" s="145">
        <f t="shared" si="98"/>
        <v>0</v>
      </c>
      <c r="O158" s="145">
        <f t="shared" si="98"/>
        <v>0</v>
      </c>
    </row>
    <row r="159" spans="3:16" ht="15.75" thickBot="1">
      <c r="C159" s="222" t="s">
        <v>33</v>
      </c>
      <c r="D159" s="141">
        <f>D147+SUM(D150:D154)+D157+D158</f>
        <v>0</v>
      </c>
      <c r="E159" s="141">
        <f t="shared" ref="E159:O159" si="99">E147+SUM(E150:E154)+E157+E158</f>
        <v>0</v>
      </c>
      <c r="F159" s="141">
        <f t="shared" si="99"/>
        <v>0</v>
      </c>
      <c r="G159" s="141">
        <f t="shared" si="99"/>
        <v>0</v>
      </c>
      <c r="H159" s="141">
        <f t="shared" si="99"/>
        <v>6227.0415573682649</v>
      </c>
      <c r="I159" s="141">
        <f t="shared" si="99"/>
        <v>9265.187800752532</v>
      </c>
      <c r="J159" s="141">
        <f t="shared" si="99"/>
        <v>14741.861997564512</v>
      </c>
      <c r="K159" s="141">
        <f t="shared" si="99"/>
        <v>12607.704382432397</v>
      </c>
      <c r="L159" s="141">
        <f t="shared" si="99"/>
        <v>6636.3084901933998</v>
      </c>
      <c r="M159" s="141">
        <f t="shared" si="99"/>
        <v>0</v>
      </c>
      <c r="N159" s="141">
        <f t="shared" si="99"/>
        <v>0</v>
      </c>
      <c r="O159" s="141">
        <f t="shared" si="99"/>
        <v>0</v>
      </c>
    </row>
    <row r="160" spans="3:16">
      <c r="C160" s="110" t="s">
        <v>229</v>
      </c>
      <c r="D160" s="140">
        <f>D159-D113</f>
        <v>0</v>
      </c>
      <c r="E160" s="140">
        <f t="shared" ref="E160:O160" si="100">E159-E113</f>
        <v>0</v>
      </c>
      <c r="F160" s="140">
        <f t="shared" si="100"/>
        <v>0</v>
      </c>
      <c r="G160" s="140">
        <f t="shared" si="100"/>
        <v>0</v>
      </c>
      <c r="H160" s="140">
        <f t="shared" si="100"/>
        <v>0</v>
      </c>
      <c r="I160" s="140">
        <f t="shared" si="100"/>
        <v>0</v>
      </c>
      <c r="J160" s="140">
        <f t="shared" si="100"/>
        <v>0</v>
      </c>
      <c r="K160" s="140">
        <f t="shared" si="100"/>
        <v>0</v>
      </c>
      <c r="L160" s="140">
        <f t="shared" si="100"/>
        <v>0</v>
      </c>
      <c r="M160" s="140">
        <f t="shared" si="100"/>
        <v>0</v>
      </c>
      <c r="N160" s="140">
        <f t="shared" si="100"/>
        <v>0</v>
      </c>
      <c r="O160" s="140">
        <f t="shared" si="100"/>
        <v>0</v>
      </c>
    </row>
    <row r="161" spans="3:16" ht="15" thickBot="1"/>
    <row r="162" spans="3:16" ht="15.75" thickBot="1">
      <c r="C162" s="147" t="s">
        <v>353</v>
      </c>
      <c r="D162" s="111" t="s">
        <v>832</v>
      </c>
      <c r="E162" s="112" t="s">
        <v>842</v>
      </c>
      <c r="F162" s="112" t="s">
        <v>833</v>
      </c>
      <c r="G162" s="112" t="s">
        <v>834</v>
      </c>
      <c r="H162" s="112" t="s">
        <v>835</v>
      </c>
      <c r="I162" s="112" t="s">
        <v>836</v>
      </c>
      <c r="J162" s="112" t="s">
        <v>837</v>
      </c>
      <c r="K162" s="112" t="s">
        <v>838</v>
      </c>
      <c r="L162" s="112" t="s">
        <v>839</v>
      </c>
      <c r="M162" s="112" t="s">
        <v>840</v>
      </c>
      <c r="N162" s="112" t="s">
        <v>841</v>
      </c>
      <c r="O162" s="113" t="s">
        <v>843</v>
      </c>
    </row>
    <row r="163" spans="3:16">
      <c r="C163" s="142" t="s">
        <v>285</v>
      </c>
      <c r="D163" s="209">
        <f>D132/$D$3</f>
        <v>17.78637886723541</v>
      </c>
      <c r="E163" s="209">
        <f t="shared" ref="E163:O163" si="101">E132/$D$3</f>
        <v>14.891750358546602</v>
      </c>
      <c r="F163" s="209">
        <f t="shared" si="101"/>
        <v>13.881091400695093</v>
      </c>
      <c r="G163" s="209">
        <f t="shared" si="101"/>
        <v>10.501524723222763</v>
      </c>
      <c r="H163" s="209">
        <f t="shared" si="101"/>
        <v>5.9987953078041025</v>
      </c>
      <c r="I163" s="209">
        <f t="shared" si="101"/>
        <v>0</v>
      </c>
      <c r="J163" s="209">
        <f t="shared" si="101"/>
        <v>0</v>
      </c>
      <c r="K163" s="209">
        <f t="shared" si="101"/>
        <v>0</v>
      </c>
      <c r="L163" s="209">
        <f t="shared" si="101"/>
        <v>0</v>
      </c>
      <c r="M163" s="209">
        <f t="shared" si="101"/>
        <v>4.5786694669826229</v>
      </c>
      <c r="N163" s="209">
        <f t="shared" si="101"/>
        <v>11.049511885434439</v>
      </c>
      <c r="O163" s="209">
        <f t="shared" si="101"/>
        <v>16.348908693649289</v>
      </c>
    </row>
    <row r="164" spans="3:16">
      <c r="C164" s="385" t="s">
        <v>349</v>
      </c>
      <c r="D164" s="388">
        <f t="shared" ref="D164:O175" si="102">D133/$D$3</f>
        <v>2.0048721550710922</v>
      </c>
      <c r="E164" s="388">
        <f t="shared" si="102"/>
        <v>1.6785910081516586</v>
      </c>
      <c r="F164" s="388">
        <f t="shared" si="102"/>
        <v>1.5646700117535532</v>
      </c>
      <c r="G164" s="388">
        <f t="shared" si="102"/>
        <v>1.1837268654028452</v>
      </c>
      <c r="H164" s="388">
        <f t="shared" si="102"/>
        <v>0.67618135014217962</v>
      </c>
      <c r="I164" s="388">
        <f t="shared" si="102"/>
        <v>0</v>
      </c>
      <c r="J164" s="388">
        <f t="shared" si="102"/>
        <v>0</v>
      </c>
      <c r="K164" s="388">
        <f t="shared" si="102"/>
        <v>0</v>
      </c>
      <c r="L164" s="388">
        <f t="shared" si="102"/>
        <v>0</v>
      </c>
      <c r="M164" s="388">
        <f t="shared" si="102"/>
        <v>0.51610544170616124</v>
      </c>
      <c r="N164" s="388">
        <f t="shared" si="102"/>
        <v>1.2454957173459715</v>
      </c>
      <c r="O164" s="388">
        <f t="shared" si="102"/>
        <v>1.8428412017061608</v>
      </c>
      <c r="P164" s="700">
        <f>SUM(D164:O164)</f>
        <v>10.712483751279622</v>
      </c>
    </row>
    <row r="165" spans="3:16">
      <c r="C165" s="385" t="s">
        <v>350</v>
      </c>
      <c r="D165" s="388">
        <f t="shared" si="102"/>
        <v>15.781506712164317</v>
      </c>
      <c r="E165" s="388">
        <f t="shared" si="102"/>
        <v>13.213159350394946</v>
      </c>
      <c r="F165" s="388">
        <f t="shared" si="102"/>
        <v>12.316421388941539</v>
      </c>
      <c r="G165" s="388">
        <f t="shared" si="102"/>
        <v>9.3177978578199205</v>
      </c>
      <c r="H165" s="388">
        <f t="shared" si="102"/>
        <v>5.3226139576619245</v>
      </c>
      <c r="I165" s="388">
        <f t="shared" si="102"/>
        <v>0</v>
      </c>
      <c r="J165" s="388">
        <f t="shared" si="102"/>
        <v>0</v>
      </c>
      <c r="K165" s="388">
        <f t="shared" si="102"/>
        <v>0</v>
      </c>
      <c r="L165" s="388">
        <f t="shared" si="102"/>
        <v>0</v>
      </c>
      <c r="M165" s="388">
        <f t="shared" si="102"/>
        <v>4.0625640252764619</v>
      </c>
      <c r="N165" s="388">
        <f t="shared" si="102"/>
        <v>9.8040161680884701</v>
      </c>
      <c r="O165" s="388">
        <f t="shared" si="102"/>
        <v>14.50606749194313</v>
      </c>
      <c r="P165" s="700">
        <f>SUM(D165:O165)</f>
        <v>84.32414695229069</v>
      </c>
    </row>
    <row r="166" spans="3:16">
      <c r="C166" s="386" t="s">
        <v>286</v>
      </c>
      <c r="D166" s="209">
        <f t="shared" si="102"/>
        <v>3.1720022748815171</v>
      </c>
      <c r="E166" s="209">
        <f t="shared" si="102"/>
        <v>2.5207749763033176</v>
      </c>
      <c r="F166" s="209">
        <f t="shared" si="102"/>
        <v>2.050619146919431</v>
      </c>
      <c r="G166" s="209">
        <f t="shared" si="102"/>
        <v>1.3046900473933647</v>
      </c>
      <c r="H166" s="209">
        <f t="shared" si="102"/>
        <v>2.2049668246445588E-2</v>
      </c>
      <c r="I166" s="209">
        <f t="shared" si="102"/>
        <v>0</v>
      </c>
      <c r="J166" s="209">
        <f t="shared" si="102"/>
        <v>0</v>
      </c>
      <c r="K166" s="209">
        <f t="shared" si="102"/>
        <v>0</v>
      </c>
      <c r="L166" s="209">
        <f t="shared" si="102"/>
        <v>0</v>
      </c>
      <c r="M166" s="209">
        <f t="shared" si="102"/>
        <v>1.3229800947867296</v>
      </c>
      <c r="N166" s="209">
        <f t="shared" si="102"/>
        <v>2.2527241706161143</v>
      </c>
      <c r="O166" s="209">
        <f t="shared" si="102"/>
        <v>2.9924549763033177</v>
      </c>
    </row>
    <row r="167" spans="3:16">
      <c r="C167" s="143" t="s">
        <v>287</v>
      </c>
      <c r="D167" s="209">
        <f t="shared" si="102"/>
        <v>3.483167400000005</v>
      </c>
      <c r="E167" s="209">
        <f t="shared" si="102"/>
        <v>2.9163024000000006</v>
      </c>
      <c r="F167" s="209">
        <f t="shared" si="102"/>
        <v>2.7183815999999981</v>
      </c>
      <c r="G167" s="209">
        <f t="shared" si="102"/>
        <v>2.0565495000000031</v>
      </c>
      <c r="H167" s="209">
        <f t="shared" si="102"/>
        <v>1.1747645999999996</v>
      </c>
      <c r="I167" s="209">
        <f t="shared" si="102"/>
        <v>0</v>
      </c>
      <c r="J167" s="209">
        <f t="shared" si="102"/>
        <v>0</v>
      </c>
      <c r="K167" s="209">
        <f t="shared" si="102"/>
        <v>0</v>
      </c>
      <c r="L167" s="209">
        <f t="shared" si="102"/>
        <v>0</v>
      </c>
      <c r="M167" s="209">
        <f t="shared" si="102"/>
        <v>0.8966565000000003</v>
      </c>
      <c r="N167" s="209">
        <f t="shared" si="102"/>
        <v>2.1638637000000007</v>
      </c>
      <c r="O167" s="209">
        <f t="shared" si="102"/>
        <v>3.2016627</v>
      </c>
    </row>
    <row r="168" spans="3:16">
      <c r="C168" s="143" t="s">
        <v>288</v>
      </c>
      <c r="D168" s="209">
        <f t="shared" si="102"/>
        <v>-1.3744923203201322</v>
      </c>
      <c r="E168" s="209">
        <f t="shared" si="102"/>
        <v>-1.6480572567094447</v>
      </c>
      <c r="F168" s="209">
        <f t="shared" si="102"/>
        <v>-2.2467562669178989</v>
      </c>
      <c r="G168" s="209">
        <f t="shared" si="102"/>
        <v>-2.4710438852341419</v>
      </c>
      <c r="H168" s="209">
        <f t="shared" si="102"/>
        <v>-2.1619177466087285</v>
      </c>
      <c r="I168" s="209">
        <f t="shared" si="102"/>
        <v>0</v>
      </c>
      <c r="J168" s="209">
        <f t="shared" si="102"/>
        <v>0</v>
      </c>
      <c r="K168" s="209">
        <f t="shared" si="102"/>
        <v>0</v>
      </c>
      <c r="L168" s="209">
        <f t="shared" si="102"/>
        <v>0</v>
      </c>
      <c r="M168" s="209">
        <f t="shared" si="102"/>
        <v>-1.3224750250699282</v>
      </c>
      <c r="N168" s="209">
        <f t="shared" si="102"/>
        <v>-1.3629642450743358</v>
      </c>
      <c r="O168" s="209">
        <f t="shared" si="102"/>
        <v>-1.2581071054127173</v>
      </c>
    </row>
    <row r="169" spans="3:16">
      <c r="C169" s="143" t="s">
        <v>284</v>
      </c>
      <c r="D169" s="209">
        <f t="shared" si="102"/>
        <v>-1.3241762758261277</v>
      </c>
      <c r="E169" s="209">
        <f t="shared" si="102"/>
        <v>-1.1588450644283688</v>
      </c>
      <c r="F169" s="209">
        <f t="shared" si="102"/>
        <v>-1.2113927949721586</v>
      </c>
      <c r="G169" s="209">
        <f t="shared" si="102"/>
        <v>-1.0625274401556881</v>
      </c>
      <c r="H169" s="209">
        <f t="shared" si="102"/>
        <v>-0.7897052355214913</v>
      </c>
      <c r="I169" s="209">
        <f t="shared" si="102"/>
        <v>0</v>
      </c>
      <c r="J169" s="209">
        <f t="shared" si="102"/>
        <v>0</v>
      </c>
      <c r="K169" s="209">
        <f t="shared" si="102"/>
        <v>0</v>
      </c>
      <c r="L169" s="209">
        <f t="shared" si="102"/>
        <v>0</v>
      </c>
      <c r="M169" s="209">
        <f t="shared" si="102"/>
        <v>-0.8333644617770698</v>
      </c>
      <c r="N169" s="209">
        <f t="shared" si="102"/>
        <v>-1.1987137244220882</v>
      </c>
      <c r="O169" s="209">
        <f t="shared" si="102"/>
        <v>-1.3165435700242643</v>
      </c>
    </row>
    <row r="170" spans="3:16">
      <c r="C170" s="143" t="s">
        <v>289</v>
      </c>
      <c r="D170" s="209">
        <f t="shared" si="102"/>
        <v>-4.1715624031775393E-3</v>
      </c>
      <c r="E170" s="209">
        <f t="shared" si="102"/>
        <v>-4.8502399662343036E-3</v>
      </c>
      <c r="F170" s="209">
        <f t="shared" si="102"/>
        <v>-1.831804685671461E-2</v>
      </c>
      <c r="G170" s="209">
        <f t="shared" si="102"/>
        <v>-9.3562281869684821E-2</v>
      </c>
      <c r="H170" s="209">
        <f t="shared" si="102"/>
        <v>-0.36147941728227811</v>
      </c>
      <c r="I170" s="209">
        <f t="shared" si="102"/>
        <v>0</v>
      </c>
      <c r="J170" s="209">
        <f t="shared" si="102"/>
        <v>0</v>
      </c>
      <c r="K170" s="209">
        <f t="shared" si="102"/>
        <v>0</v>
      </c>
      <c r="L170" s="209">
        <f t="shared" si="102"/>
        <v>0</v>
      </c>
      <c r="M170" s="209">
        <f t="shared" si="102"/>
        <v>-0.70385748321285502</v>
      </c>
      <c r="N170" s="209">
        <f t="shared" si="102"/>
        <v>-3.3558868551541485E-2</v>
      </c>
      <c r="O170" s="209">
        <f t="shared" si="102"/>
        <v>-2.9239995083581643E-2</v>
      </c>
    </row>
    <row r="171" spans="3:16">
      <c r="C171" s="387" t="s">
        <v>351</v>
      </c>
      <c r="D171" s="388">
        <f t="shared" si="102"/>
        <v>-4.7021652736063956E-4</v>
      </c>
      <c r="E171" s="388">
        <f t="shared" si="102"/>
        <v>-5.4671673904512744E-4</v>
      </c>
      <c r="F171" s="388">
        <f t="shared" si="102"/>
        <v>-2.0648015176358944E-3</v>
      </c>
      <c r="G171" s="388">
        <f t="shared" si="102"/>
        <v>-1.0546295852889376E-2</v>
      </c>
      <c r="H171" s="388">
        <f t="shared" si="102"/>
        <v>-4.0745787759844859E-2</v>
      </c>
      <c r="I171" s="388">
        <f t="shared" si="102"/>
        <v>0</v>
      </c>
      <c r="J171" s="388">
        <f t="shared" si="102"/>
        <v>0</v>
      </c>
      <c r="K171" s="388">
        <f t="shared" si="102"/>
        <v>0</v>
      </c>
      <c r="L171" s="388">
        <f t="shared" si="102"/>
        <v>0</v>
      </c>
      <c r="M171" s="388">
        <f t="shared" si="102"/>
        <v>-7.9338480292431249E-2</v>
      </c>
      <c r="N171" s="388">
        <f t="shared" si="102"/>
        <v>-3.7827396805662568E-3</v>
      </c>
      <c r="O171" s="388">
        <f t="shared" si="102"/>
        <v>-3.29591832014092E-3</v>
      </c>
      <c r="P171" s="700">
        <f>SUM(D171:O171)</f>
        <v>-0.14079095668991432</v>
      </c>
    </row>
    <row r="172" spans="3:16">
      <c r="C172" s="387" t="s">
        <v>483</v>
      </c>
      <c r="D172" s="388">
        <f t="shared" si="102"/>
        <v>-3.7013458758169012E-3</v>
      </c>
      <c r="E172" s="388">
        <f t="shared" si="102"/>
        <v>-4.3035232271891764E-3</v>
      </c>
      <c r="F172" s="388">
        <f t="shared" si="102"/>
        <v>-1.6253245339078719E-2</v>
      </c>
      <c r="G172" s="388">
        <f t="shared" si="102"/>
        <v>-8.3015986016795454E-2</v>
      </c>
      <c r="H172" s="388">
        <f t="shared" si="102"/>
        <v>-0.32073362952243334</v>
      </c>
      <c r="I172" s="388">
        <f t="shared" si="102"/>
        <v>0</v>
      </c>
      <c r="J172" s="388">
        <f t="shared" si="102"/>
        <v>0</v>
      </c>
      <c r="K172" s="388">
        <f t="shared" si="102"/>
        <v>0</v>
      </c>
      <c r="L172" s="388">
        <f t="shared" si="102"/>
        <v>0</v>
      </c>
      <c r="M172" s="388">
        <f t="shared" si="102"/>
        <v>-0.62451900292042395</v>
      </c>
      <c r="N172" s="388">
        <f t="shared" si="102"/>
        <v>-2.9776128870975232E-2</v>
      </c>
      <c r="O172" s="388">
        <f t="shared" si="102"/>
        <v>-2.5944076763440727E-2</v>
      </c>
      <c r="P172" s="700">
        <f>SUM(D172:O172)</f>
        <v>-1.1082469385361535</v>
      </c>
    </row>
    <row r="173" spans="3:16">
      <c r="C173" s="144" t="s">
        <v>290</v>
      </c>
      <c r="D173" s="209">
        <f t="shared" si="102"/>
        <v>0</v>
      </c>
      <c r="E173" s="209">
        <f t="shared" si="102"/>
        <v>0</v>
      </c>
      <c r="F173" s="209">
        <f t="shared" si="102"/>
        <v>0</v>
      </c>
      <c r="G173" s="209">
        <f t="shared" si="102"/>
        <v>0</v>
      </c>
      <c r="H173" s="209">
        <f t="shared" si="102"/>
        <v>0</v>
      </c>
      <c r="I173" s="209">
        <f t="shared" si="102"/>
        <v>0</v>
      </c>
      <c r="J173" s="209">
        <f t="shared" si="102"/>
        <v>0</v>
      </c>
      <c r="K173" s="209">
        <f t="shared" si="102"/>
        <v>0</v>
      </c>
      <c r="L173" s="209">
        <f t="shared" si="102"/>
        <v>0</v>
      </c>
      <c r="M173" s="209">
        <f t="shared" si="102"/>
        <v>0</v>
      </c>
      <c r="N173" s="209">
        <f t="shared" si="102"/>
        <v>0</v>
      </c>
      <c r="O173" s="209">
        <f t="shared" si="102"/>
        <v>0</v>
      </c>
    </row>
    <row r="174" spans="3:16" ht="15" thickBot="1">
      <c r="C174" s="214" t="s">
        <v>291</v>
      </c>
      <c r="D174" s="209">
        <f t="shared" si="102"/>
        <v>-8.1693133145724827E-4</v>
      </c>
      <c r="E174" s="209">
        <f t="shared" si="102"/>
        <v>-9.4983907959396625E-4</v>
      </c>
      <c r="F174" s="209">
        <f t="shared" si="102"/>
        <v>-3.5872857605949719E-3</v>
      </c>
      <c r="G174" s="209">
        <f t="shared" si="102"/>
        <v>-1.8322621625834753E-2</v>
      </c>
      <c r="H174" s="209">
        <f t="shared" si="102"/>
        <v>-7.0789750485301256E-2</v>
      </c>
      <c r="I174" s="209">
        <f t="shared" si="102"/>
        <v>0</v>
      </c>
      <c r="J174" s="209">
        <f t="shared" si="102"/>
        <v>0</v>
      </c>
      <c r="K174" s="209">
        <f t="shared" si="102"/>
        <v>0</v>
      </c>
      <c r="L174" s="209">
        <f t="shared" si="102"/>
        <v>0</v>
      </c>
      <c r="M174" s="209">
        <f t="shared" si="102"/>
        <v>-0.13783881801198444</v>
      </c>
      <c r="N174" s="209">
        <f t="shared" si="102"/>
        <v>-6.571947994144095E-3</v>
      </c>
      <c r="O174" s="209">
        <f t="shared" si="102"/>
        <v>-5.7261682330914231E-3</v>
      </c>
    </row>
    <row r="175" spans="3:16" ht="15.75" thickBot="1">
      <c r="C175" s="222" t="s">
        <v>33</v>
      </c>
      <c r="D175" s="209">
        <f t="shared" si="102"/>
        <v>21.737891452236035</v>
      </c>
      <c r="E175" s="209">
        <f t="shared" si="102"/>
        <v>17.516125334666278</v>
      </c>
      <c r="F175" s="209">
        <f t="shared" si="102"/>
        <v>15.170037753107154</v>
      </c>
      <c r="G175" s="209">
        <f t="shared" si="102"/>
        <v>10.217308041730782</v>
      </c>
      <c r="H175" s="209">
        <f t="shared" si="102"/>
        <v>3.8117174261527484</v>
      </c>
      <c r="I175" s="209">
        <f t="shared" si="102"/>
        <v>0</v>
      </c>
      <c r="J175" s="209">
        <f t="shared" si="102"/>
        <v>0</v>
      </c>
      <c r="K175" s="209">
        <f t="shared" si="102"/>
        <v>0</v>
      </c>
      <c r="L175" s="209">
        <f t="shared" si="102"/>
        <v>0</v>
      </c>
      <c r="M175" s="209">
        <f t="shared" si="102"/>
        <v>3.8007702736975153</v>
      </c>
      <c r="N175" s="209">
        <f t="shared" si="102"/>
        <v>12.864290970008444</v>
      </c>
      <c r="O175" s="209">
        <f t="shared" si="102"/>
        <v>19.933409531198951</v>
      </c>
    </row>
    <row r="176" spans="3:16" ht="15" thickBot="1"/>
    <row r="177" spans="3:17" ht="15.75" thickBot="1">
      <c r="C177" s="147" t="s">
        <v>354</v>
      </c>
      <c r="D177" s="111" t="s">
        <v>832</v>
      </c>
      <c r="E177" s="112" t="s">
        <v>842</v>
      </c>
      <c r="F177" s="112" t="s">
        <v>833</v>
      </c>
      <c r="G177" s="112" t="s">
        <v>834</v>
      </c>
      <c r="H177" s="112" t="s">
        <v>835</v>
      </c>
      <c r="I177" s="112" t="s">
        <v>836</v>
      </c>
      <c r="J177" s="112" t="s">
        <v>837</v>
      </c>
      <c r="K177" s="112" t="s">
        <v>838</v>
      </c>
      <c r="L177" s="112" t="s">
        <v>839</v>
      </c>
      <c r="M177" s="112" t="s">
        <v>840</v>
      </c>
      <c r="N177" s="112" t="s">
        <v>841</v>
      </c>
      <c r="O177" s="113" t="s">
        <v>843</v>
      </c>
    </row>
    <row r="178" spans="3:17">
      <c r="C178" s="142" t="s">
        <v>285</v>
      </c>
      <c r="D178" s="209">
        <f>D147/$D$3</f>
        <v>0</v>
      </c>
      <c r="E178" s="209">
        <f t="shared" ref="E178:O178" si="103">E147/$D$3</f>
        <v>0</v>
      </c>
      <c r="F178" s="209">
        <f t="shared" si="103"/>
        <v>0</v>
      </c>
      <c r="G178" s="209">
        <f t="shared" si="103"/>
        <v>0</v>
      </c>
      <c r="H178" s="209">
        <f t="shared" si="103"/>
        <v>-4.6932342748341735</v>
      </c>
      <c r="I178" s="209">
        <f t="shared" si="103"/>
        <v>-4.0906516724924815</v>
      </c>
      <c r="J178" s="209">
        <f t="shared" si="103"/>
        <v>-3.2895055405681313</v>
      </c>
      <c r="K178" s="209">
        <f t="shared" si="103"/>
        <v>-3.0522363088383666</v>
      </c>
      <c r="L178" s="209">
        <f t="shared" si="103"/>
        <v>-3.0920409687728028</v>
      </c>
      <c r="M178" s="209">
        <f t="shared" si="103"/>
        <v>0</v>
      </c>
      <c r="N178" s="209">
        <f t="shared" si="103"/>
        <v>0</v>
      </c>
      <c r="O178" s="209">
        <f t="shared" si="103"/>
        <v>0</v>
      </c>
    </row>
    <row r="179" spans="3:17">
      <c r="C179" s="385" t="s">
        <v>349</v>
      </c>
      <c r="D179" s="388">
        <f t="shared" ref="D179:O190" si="104">D148/$D$3</f>
        <v>0</v>
      </c>
      <c r="E179" s="388">
        <f t="shared" si="104"/>
        <v>0</v>
      </c>
      <c r="F179" s="388">
        <f t="shared" si="104"/>
        <v>0</v>
      </c>
      <c r="G179" s="388">
        <f t="shared" si="104"/>
        <v>0</v>
      </c>
      <c r="H179" s="388">
        <f t="shared" si="104"/>
        <v>-0.52901913228517816</v>
      </c>
      <c r="I179" s="388">
        <f t="shared" si="104"/>
        <v>-0.46109630833192261</v>
      </c>
      <c r="J179" s="388">
        <f t="shared" si="104"/>
        <v>-0.37079149789089233</v>
      </c>
      <c r="K179" s="388">
        <f t="shared" si="104"/>
        <v>-0.34404662309086187</v>
      </c>
      <c r="L179" s="388">
        <f t="shared" si="104"/>
        <v>-0.34853338540152157</v>
      </c>
      <c r="M179" s="388">
        <f t="shared" si="104"/>
        <v>0</v>
      </c>
      <c r="N179" s="388">
        <f t="shared" si="104"/>
        <v>0</v>
      </c>
      <c r="O179" s="388">
        <f t="shared" si="104"/>
        <v>0</v>
      </c>
      <c r="P179" s="700">
        <f t="shared" ref="P179:P180" si="105">SUM(D179:O179)</f>
        <v>-2.0534869470003763</v>
      </c>
    </row>
    <row r="180" spans="3:17">
      <c r="C180" s="385" t="s">
        <v>350</v>
      </c>
      <c r="D180" s="388">
        <f t="shared" si="104"/>
        <v>0</v>
      </c>
      <c r="E180" s="388">
        <f t="shared" si="104"/>
        <v>0</v>
      </c>
      <c r="F180" s="388">
        <f t="shared" si="104"/>
        <v>0</v>
      </c>
      <c r="G180" s="388">
        <f t="shared" si="104"/>
        <v>0</v>
      </c>
      <c r="H180" s="388">
        <f t="shared" si="104"/>
        <v>-4.1642151425489953</v>
      </c>
      <c r="I180" s="388">
        <f t="shared" si="104"/>
        <v>-3.6295553641605593</v>
      </c>
      <c r="J180" s="388">
        <f t="shared" si="104"/>
        <v>-2.91871404267724</v>
      </c>
      <c r="K180" s="388">
        <f t="shared" si="104"/>
        <v>-2.708189685747505</v>
      </c>
      <c r="L180" s="388">
        <f t="shared" si="104"/>
        <v>-2.7435075833712812</v>
      </c>
      <c r="M180" s="388">
        <f t="shared" si="104"/>
        <v>0</v>
      </c>
      <c r="N180" s="388">
        <f t="shared" si="104"/>
        <v>0</v>
      </c>
      <c r="O180" s="388">
        <f t="shared" si="104"/>
        <v>0</v>
      </c>
      <c r="P180" s="700">
        <f t="shared" si="105"/>
        <v>-16.164181818505583</v>
      </c>
    </row>
    <row r="181" spans="3:17">
      <c r="C181" s="386" t="s">
        <v>286</v>
      </c>
      <c r="D181" s="209">
        <f t="shared" si="104"/>
        <v>0</v>
      </c>
      <c r="E181" s="209">
        <f t="shared" si="104"/>
        <v>0</v>
      </c>
      <c r="F181" s="209">
        <f t="shared" si="104"/>
        <v>0</v>
      </c>
      <c r="G181" s="209">
        <f t="shared" si="104"/>
        <v>0</v>
      </c>
      <c r="H181" s="209">
        <f t="shared" si="104"/>
        <v>-0.59642250967231436</v>
      </c>
      <c r="I181" s="209">
        <f t="shared" si="104"/>
        <v>-0.56647866806341385</v>
      </c>
      <c r="J181" s="209">
        <f t="shared" si="104"/>
        <v>-0.72487462107343592</v>
      </c>
      <c r="K181" s="209">
        <f t="shared" si="104"/>
        <v>-0.87235248030119639</v>
      </c>
      <c r="L181" s="209">
        <f t="shared" si="104"/>
        <v>-0.86574068535668858</v>
      </c>
      <c r="M181" s="209">
        <f t="shared" si="104"/>
        <v>0</v>
      </c>
      <c r="N181" s="209">
        <f t="shared" si="104"/>
        <v>0</v>
      </c>
      <c r="O181" s="209">
        <f t="shared" si="104"/>
        <v>0</v>
      </c>
    </row>
    <row r="182" spans="3:17">
      <c r="C182" s="143" t="s">
        <v>287</v>
      </c>
      <c r="D182" s="209">
        <f t="shared" si="104"/>
        <v>0</v>
      </c>
      <c r="E182" s="209">
        <f t="shared" si="104"/>
        <v>0</v>
      </c>
      <c r="F182" s="209">
        <f t="shared" si="104"/>
        <v>0</v>
      </c>
      <c r="G182" s="209">
        <f t="shared" si="104"/>
        <v>0</v>
      </c>
      <c r="H182" s="209">
        <f t="shared" si="104"/>
        <v>-5.5145527086838575</v>
      </c>
      <c r="I182" s="209">
        <f t="shared" si="104"/>
        <v>-4.8065178381964779</v>
      </c>
      <c r="J182" s="209">
        <f t="shared" si="104"/>
        <v>-3.8651707173964795</v>
      </c>
      <c r="K182" s="209">
        <f t="shared" si="104"/>
        <v>-3.5863792469730376</v>
      </c>
      <c r="L182" s="209">
        <f t="shared" si="104"/>
        <v>-3.633149743054322</v>
      </c>
      <c r="M182" s="209">
        <f t="shared" si="104"/>
        <v>0</v>
      </c>
      <c r="N182" s="209">
        <f t="shared" si="104"/>
        <v>0</v>
      </c>
      <c r="O182" s="209">
        <f t="shared" si="104"/>
        <v>0</v>
      </c>
    </row>
    <row r="183" spans="3:17">
      <c r="C183" s="143" t="s">
        <v>288</v>
      </c>
      <c r="D183" s="209">
        <f t="shared" si="104"/>
        <v>0</v>
      </c>
      <c r="E183" s="209">
        <f t="shared" si="104"/>
        <v>0</v>
      </c>
      <c r="F183" s="209">
        <f t="shared" si="104"/>
        <v>0</v>
      </c>
      <c r="G183" s="209">
        <f t="shared" si="104"/>
        <v>0</v>
      </c>
      <c r="H183" s="209">
        <f t="shared" si="104"/>
        <v>13.251148865934905</v>
      </c>
      <c r="I183" s="209">
        <f t="shared" si="104"/>
        <v>13.815083269970403</v>
      </c>
      <c r="J183" s="209">
        <f t="shared" si="104"/>
        <v>15.000790638636474</v>
      </c>
      <c r="K183" s="209">
        <f t="shared" si="104"/>
        <v>13.14627037793402</v>
      </c>
      <c r="L183" s="209">
        <f t="shared" si="104"/>
        <v>9.9655488173376217</v>
      </c>
      <c r="M183" s="209">
        <f t="shared" si="104"/>
        <v>0</v>
      </c>
      <c r="N183" s="209">
        <f t="shared" si="104"/>
        <v>0</v>
      </c>
      <c r="O183" s="209">
        <f t="shared" si="104"/>
        <v>0</v>
      </c>
    </row>
    <row r="184" spans="3:17">
      <c r="C184" s="143" t="s">
        <v>284</v>
      </c>
      <c r="D184" s="209">
        <f t="shared" si="104"/>
        <v>0</v>
      </c>
      <c r="E184" s="209">
        <f t="shared" si="104"/>
        <v>0</v>
      </c>
      <c r="F184" s="209">
        <f t="shared" si="104"/>
        <v>0</v>
      </c>
      <c r="G184" s="209">
        <f t="shared" si="104"/>
        <v>0</v>
      </c>
      <c r="H184" s="209">
        <f t="shared" si="104"/>
        <v>1.4880000000000002</v>
      </c>
      <c r="I184" s="209">
        <f t="shared" si="104"/>
        <v>1.4400000000000002</v>
      </c>
      <c r="J184" s="209">
        <f t="shared" si="104"/>
        <v>1.4880000000000002</v>
      </c>
      <c r="K184" s="209">
        <f t="shared" si="104"/>
        <v>1.4880000000000002</v>
      </c>
      <c r="L184" s="209">
        <f t="shared" si="104"/>
        <v>1.4400000000000002</v>
      </c>
      <c r="M184" s="209">
        <f t="shared" si="104"/>
        <v>0</v>
      </c>
      <c r="N184" s="209">
        <f t="shared" si="104"/>
        <v>0</v>
      </c>
      <c r="O184" s="209">
        <f t="shared" si="104"/>
        <v>0</v>
      </c>
    </row>
    <row r="185" spans="3:17">
      <c r="C185" s="143" t="s">
        <v>289</v>
      </c>
      <c r="D185" s="209">
        <f t="shared" si="104"/>
        <v>0</v>
      </c>
      <c r="E185" s="209">
        <f t="shared" si="104"/>
        <v>0</v>
      </c>
      <c r="F185" s="209">
        <f t="shared" si="104"/>
        <v>0</v>
      </c>
      <c r="G185" s="209">
        <f t="shared" si="104"/>
        <v>0</v>
      </c>
      <c r="H185" s="209">
        <f t="shared" si="104"/>
        <v>0</v>
      </c>
      <c r="I185" s="209">
        <f t="shared" si="104"/>
        <v>5.2970529794628754E-2</v>
      </c>
      <c r="J185" s="209">
        <f t="shared" si="104"/>
        <v>0.5906448454976303</v>
      </c>
      <c r="K185" s="209">
        <f t="shared" si="104"/>
        <v>0.70549245434439212</v>
      </c>
      <c r="L185" s="209">
        <f t="shared" si="104"/>
        <v>0.31688564726698265</v>
      </c>
      <c r="M185" s="209">
        <f t="shared" si="104"/>
        <v>0</v>
      </c>
      <c r="N185" s="209">
        <f t="shared" si="104"/>
        <v>0</v>
      </c>
      <c r="O185" s="209">
        <f t="shared" si="104"/>
        <v>0</v>
      </c>
    </row>
    <row r="186" spans="3:17">
      <c r="C186" s="387" t="s">
        <v>351</v>
      </c>
      <c r="D186" s="388">
        <f t="shared" si="104"/>
        <v>0</v>
      </c>
      <c r="E186" s="388">
        <f t="shared" si="104"/>
        <v>0</v>
      </c>
      <c r="F186" s="388">
        <f t="shared" si="104"/>
        <v>0</v>
      </c>
      <c r="G186" s="388">
        <f t="shared" si="104"/>
        <v>0</v>
      </c>
      <c r="H186" s="388">
        <f t="shared" si="104"/>
        <v>0</v>
      </c>
      <c r="I186" s="388">
        <f t="shared" si="104"/>
        <v>5.9708128909952609E-3</v>
      </c>
      <c r="J186" s="388">
        <f t="shared" si="104"/>
        <v>6.6577205687203794E-2</v>
      </c>
      <c r="K186" s="388">
        <f t="shared" si="104"/>
        <v>7.9522773459715687E-2</v>
      </c>
      <c r="L186" s="388">
        <f t="shared" si="104"/>
        <v>3.5719199241706162E-2</v>
      </c>
      <c r="M186" s="388">
        <f t="shared" si="104"/>
        <v>0</v>
      </c>
      <c r="N186" s="388">
        <f t="shared" si="104"/>
        <v>0</v>
      </c>
      <c r="O186" s="388">
        <f t="shared" si="104"/>
        <v>0</v>
      </c>
      <c r="P186" s="700">
        <f t="shared" ref="P186:P187" si="106">SUM(D186:O186)</f>
        <v>0.1877899912796209</v>
      </c>
    </row>
    <row r="187" spans="3:17">
      <c r="C187" s="387" t="s">
        <v>483</v>
      </c>
      <c r="D187" s="388">
        <f t="shared" si="104"/>
        <v>0</v>
      </c>
      <c r="E187" s="388">
        <f t="shared" si="104"/>
        <v>0</v>
      </c>
      <c r="F187" s="388">
        <f t="shared" si="104"/>
        <v>0</v>
      </c>
      <c r="G187" s="388">
        <f t="shared" si="104"/>
        <v>0</v>
      </c>
      <c r="H187" s="388">
        <f t="shared" si="104"/>
        <v>0</v>
      </c>
      <c r="I187" s="388">
        <f t="shared" si="104"/>
        <v>4.6999716903633498E-2</v>
      </c>
      <c r="J187" s="388">
        <f t="shared" si="104"/>
        <v>0.52406763981042659</v>
      </c>
      <c r="K187" s="388">
        <f t="shared" si="104"/>
        <v>0.62596968088467664</v>
      </c>
      <c r="L187" s="388">
        <f t="shared" si="104"/>
        <v>0.28116644802527652</v>
      </c>
      <c r="M187" s="388">
        <f t="shared" si="104"/>
        <v>0</v>
      </c>
      <c r="N187" s="388">
        <f t="shared" si="104"/>
        <v>0</v>
      </c>
      <c r="O187" s="388">
        <f t="shared" si="104"/>
        <v>0</v>
      </c>
      <c r="P187" s="700">
        <f t="shared" si="106"/>
        <v>1.4782034856240132</v>
      </c>
    </row>
    <row r="188" spans="3:17">
      <c r="C188" s="144" t="s">
        <v>290</v>
      </c>
      <c r="D188" s="209">
        <f t="shared" si="104"/>
        <v>0</v>
      </c>
      <c r="E188" s="209">
        <f t="shared" si="104"/>
        <v>0</v>
      </c>
      <c r="F188" s="209">
        <f t="shared" si="104"/>
        <v>0</v>
      </c>
      <c r="G188" s="209">
        <f t="shared" si="104"/>
        <v>0</v>
      </c>
      <c r="H188" s="209">
        <f t="shared" si="104"/>
        <v>0</v>
      </c>
      <c r="I188" s="209">
        <f t="shared" si="104"/>
        <v>0</v>
      </c>
      <c r="J188" s="209">
        <f t="shared" si="104"/>
        <v>0</v>
      </c>
      <c r="K188" s="209">
        <f t="shared" si="104"/>
        <v>0</v>
      </c>
      <c r="L188" s="209">
        <f t="shared" si="104"/>
        <v>0</v>
      </c>
      <c r="M188" s="209">
        <f t="shared" si="104"/>
        <v>0</v>
      </c>
      <c r="N188" s="209">
        <f t="shared" si="104"/>
        <v>0</v>
      </c>
      <c r="O188" s="209">
        <f t="shared" si="104"/>
        <v>0</v>
      </c>
    </row>
    <row r="189" spans="3:17" ht="15" thickBot="1">
      <c r="C189" s="214" t="s">
        <v>291</v>
      </c>
      <c r="D189" s="209">
        <f t="shared" si="104"/>
        <v>0</v>
      </c>
      <c r="E189" s="209">
        <f t="shared" si="104"/>
        <v>0</v>
      </c>
      <c r="F189" s="209">
        <f t="shared" si="104"/>
        <v>0</v>
      </c>
      <c r="G189" s="209">
        <f t="shared" si="104"/>
        <v>0</v>
      </c>
      <c r="H189" s="209">
        <f t="shared" si="104"/>
        <v>0</v>
      </c>
      <c r="I189" s="209">
        <f t="shared" si="104"/>
        <v>1.0373400000000003E-2</v>
      </c>
      <c r="J189" s="209">
        <f t="shared" si="104"/>
        <v>0.11566800000000002</v>
      </c>
      <c r="K189" s="209">
        <f t="shared" si="104"/>
        <v>0.13815900000000012</v>
      </c>
      <c r="L189" s="209">
        <f t="shared" si="104"/>
        <v>6.205680000000003E-2</v>
      </c>
      <c r="M189" s="209">
        <f t="shared" si="104"/>
        <v>0</v>
      </c>
      <c r="N189" s="209">
        <f t="shared" si="104"/>
        <v>0</v>
      </c>
      <c r="O189" s="209">
        <f t="shared" si="104"/>
        <v>0</v>
      </c>
    </row>
    <row r="190" spans="3:17" ht="15.75" thickBot="1">
      <c r="C190" s="222" t="s">
        <v>33</v>
      </c>
      <c r="D190" s="209">
        <f t="shared" si="104"/>
        <v>0</v>
      </c>
      <c r="E190" s="209">
        <f t="shared" si="104"/>
        <v>0</v>
      </c>
      <c r="F190" s="209">
        <f t="shared" si="104"/>
        <v>0</v>
      </c>
      <c r="G190" s="209">
        <f t="shared" si="104"/>
        <v>0</v>
      </c>
      <c r="H190" s="209">
        <f t="shared" si="104"/>
        <v>3.9349393727445592</v>
      </c>
      <c r="I190" s="209">
        <f t="shared" si="104"/>
        <v>5.854779021012658</v>
      </c>
      <c r="J190" s="209">
        <f t="shared" si="104"/>
        <v>9.3155526050960589</v>
      </c>
      <c r="K190" s="209">
        <f t="shared" si="104"/>
        <v>7.9669537961658117</v>
      </c>
      <c r="L190" s="209">
        <f t="shared" si="104"/>
        <v>4.1935598674207899</v>
      </c>
      <c r="M190" s="209">
        <f t="shared" si="104"/>
        <v>0</v>
      </c>
      <c r="N190" s="209">
        <f t="shared" si="104"/>
        <v>0</v>
      </c>
      <c r="O190" s="209">
        <f t="shared" si="104"/>
        <v>0</v>
      </c>
    </row>
    <row r="191" spans="3:17" ht="15" thickBot="1"/>
    <row r="192" spans="3:17" ht="15">
      <c r="C192" s="709" t="s">
        <v>955</v>
      </c>
      <c r="D192" s="111" t="s">
        <v>832</v>
      </c>
      <c r="E192" s="112" t="s">
        <v>842</v>
      </c>
      <c r="F192" s="112" t="s">
        <v>833</v>
      </c>
      <c r="G192" s="112" t="s">
        <v>834</v>
      </c>
      <c r="H192" s="112" t="s">
        <v>835</v>
      </c>
      <c r="I192" s="112" t="s">
        <v>836</v>
      </c>
      <c r="J192" s="112" t="s">
        <v>837</v>
      </c>
      <c r="K192" s="112" t="s">
        <v>838</v>
      </c>
      <c r="L192" s="112" t="s">
        <v>839</v>
      </c>
      <c r="M192" s="112" t="s">
        <v>840</v>
      </c>
      <c r="N192" s="112" t="s">
        <v>841</v>
      </c>
      <c r="O192" s="703" t="s">
        <v>843</v>
      </c>
      <c r="P192" s="169" t="s">
        <v>919</v>
      </c>
      <c r="Q192" s="169" t="s">
        <v>917</v>
      </c>
    </row>
    <row r="193" spans="3:17">
      <c r="C193" s="713" t="s">
        <v>920</v>
      </c>
      <c r="D193" s="135">
        <f>IF(D112=0,0,$D$30*$D$43/1000)</f>
        <v>1435.3836900000015</v>
      </c>
      <c r="E193" s="135">
        <f>IF(E112=0,0,$D$30*$E$43/1000)</f>
        <v>1201.7834399999999</v>
      </c>
      <c r="F193" s="135">
        <f>IF(F112=0,0,$D$30*$F$43/1000)</f>
        <v>1120.2219599999989</v>
      </c>
      <c r="G193" s="135">
        <f>IF(G112=0,0,$D$30*$G$43/1000)</f>
        <v>847.48657500000127</v>
      </c>
      <c r="H193" s="135">
        <f>IF(H112=0,0,$D$30*$H$43/1000)</f>
        <v>484.11050999999964</v>
      </c>
      <c r="I193" s="135">
        <f>IF(I112=0,0,$D$30*$I$43/1000)</f>
        <v>0</v>
      </c>
      <c r="J193" s="135">
        <f>IF(J112=0,0,$D$30*$J$43/1000)</f>
        <v>0</v>
      </c>
      <c r="K193" s="135">
        <f>IF(K112=0,0,$D$30*$K$43/1000)</f>
        <v>0</v>
      </c>
      <c r="L193" s="135">
        <f>IF(L112=0,0,$D$30*$L$43/1000)</f>
        <v>0</v>
      </c>
      <c r="M193" s="135">
        <f>IF(M112=0,0,$D$30*$M$43/1000)</f>
        <v>369.50452500000006</v>
      </c>
      <c r="N193" s="135">
        <f>IF(N112=0,0,$D$30*$N$43/1000)</f>
        <v>891.70984500000009</v>
      </c>
      <c r="O193" s="135">
        <f>IF(O112=0,0,$D$30*$O$43/1000)</f>
        <v>1319.3779949999998</v>
      </c>
      <c r="P193" s="135">
        <f>SUM(D193:O193)</f>
        <v>7669.5785400000013</v>
      </c>
      <c r="Q193" s="209">
        <f>P193/$D$3</f>
        <v>4.8464951279620863</v>
      </c>
    </row>
    <row r="194" spans="3:17">
      <c r="C194" s="713" t="s">
        <v>921</v>
      </c>
      <c r="D194" s="135">
        <f>IF(D112=0,0,$E$30*D$43/1000)</f>
        <v>0</v>
      </c>
      <c r="E194" s="135">
        <f t="shared" ref="E194:O194" si="107">IF(E112=0,0,$E$30*E$43/1000)</f>
        <v>0</v>
      </c>
      <c r="F194" s="135">
        <f t="shared" si="107"/>
        <v>0</v>
      </c>
      <c r="G194" s="135">
        <f t="shared" si="107"/>
        <v>0</v>
      </c>
      <c r="H194" s="135">
        <f t="shared" si="107"/>
        <v>0</v>
      </c>
      <c r="I194" s="135">
        <f t="shared" si="107"/>
        <v>0</v>
      </c>
      <c r="J194" s="135">
        <f t="shared" si="107"/>
        <v>0</v>
      </c>
      <c r="K194" s="135">
        <f t="shared" si="107"/>
        <v>0</v>
      </c>
      <c r="L194" s="135">
        <f t="shared" si="107"/>
        <v>0</v>
      </c>
      <c r="M194" s="135">
        <f t="shared" si="107"/>
        <v>0</v>
      </c>
      <c r="N194" s="135">
        <f t="shared" si="107"/>
        <v>0</v>
      </c>
      <c r="O194" s="135">
        <f t="shared" si="107"/>
        <v>0</v>
      </c>
      <c r="P194" s="135">
        <f t="shared" ref="P194:P206" si="108">SUM(D194:O194)</f>
        <v>0</v>
      </c>
      <c r="Q194" s="209">
        <f t="shared" ref="Q194:Q221" si="109">P194/$D$3</f>
        <v>0</v>
      </c>
    </row>
    <row r="195" spans="3:17">
      <c r="C195" s="713" t="s">
        <v>922</v>
      </c>
      <c r="D195" s="135">
        <f>IF(D112=0,0,$F$30*D$43/1000)</f>
        <v>7005.2643180000086</v>
      </c>
      <c r="E195" s="135">
        <f t="shared" ref="E195:O195" si="110">IF(E112=0,0,$F$30*E$43/1000)</f>
        <v>5865.1987680000002</v>
      </c>
      <c r="F195" s="135">
        <f t="shared" si="110"/>
        <v>5467.1451119999956</v>
      </c>
      <c r="G195" s="135">
        <f t="shared" si="110"/>
        <v>4136.0839650000062</v>
      </c>
      <c r="H195" s="135">
        <f t="shared" si="110"/>
        <v>2362.6589219999987</v>
      </c>
      <c r="I195" s="135">
        <f t="shared" si="110"/>
        <v>0</v>
      </c>
      <c r="J195" s="135">
        <f t="shared" si="110"/>
        <v>0</v>
      </c>
      <c r="K195" s="135">
        <f t="shared" si="110"/>
        <v>0</v>
      </c>
      <c r="L195" s="135">
        <f t="shared" si="110"/>
        <v>0</v>
      </c>
      <c r="M195" s="135">
        <f t="shared" si="110"/>
        <v>1803.3344550000004</v>
      </c>
      <c r="N195" s="135">
        <f t="shared" si="110"/>
        <v>4351.9117590000005</v>
      </c>
      <c r="O195" s="135">
        <f t="shared" si="110"/>
        <v>6439.1086890000006</v>
      </c>
      <c r="P195" s="135">
        <f t="shared" si="108"/>
        <v>37430.705988000009</v>
      </c>
      <c r="Q195" s="209">
        <f t="shared" si="109"/>
        <v>23.652894779146926</v>
      </c>
    </row>
    <row r="196" spans="3:17">
      <c r="C196" s="713" t="s">
        <v>923</v>
      </c>
      <c r="D196" s="135">
        <f>IF(D112=0,0,$G$30*D$43/1000)</f>
        <v>3418.284870000004</v>
      </c>
      <c r="E196" s="135">
        <f t="shared" ref="E196:O196" si="111">IF(E112=0,0,$G$30*E$43/1000)</f>
        <v>2861.9791199999995</v>
      </c>
      <c r="F196" s="135">
        <f t="shared" si="111"/>
        <v>2667.7450799999979</v>
      </c>
      <c r="G196" s="135">
        <f t="shared" si="111"/>
        <v>2018.2412250000029</v>
      </c>
      <c r="H196" s="135">
        <f t="shared" si="111"/>
        <v>1152.8817299999994</v>
      </c>
      <c r="I196" s="135">
        <f t="shared" si="111"/>
        <v>0</v>
      </c>
      <c r="J196" s="135">
        <f t="shared" si="111"/>
        <v>0</v>
      </c>
      <c r="K196" s="135">
        <f t="shared" si="111"/>
        <v>0</v>
      </c>
      <c r="L196" s="135">
        <f t="shared" si="111"/>
        <v>0</v>
      </c>
      <c r="M196" s="135">
        <f t="shared" si="111"/>
        <v>879.9540750000001</v>
      </c>
      <c r="N196" s="135">
        <f t="shared" si="111"/>
        <v>2123.556435</v>
      </c>
      <c r="O196" s="135">
        <f t="shared" si="111"/>
        <v>3142.0238849999996</v>
      </c>
      <c r="P196" s="135">
        <f t="shared" si="108"/>
        <v>18264.666420000001</v>
      </c>
      <c r="Q196" s="209">
        <f t="shared" si="109"/>
        <v>11.541653345971564</v>
      </c>
    </row>
    <row r="197" spans="3:17">
      <c r="C197" s="713" t="s">
        <v>924</v>
      </c>
      <c r="D197" s="135">
        <f>IF(D112=0,0,$H$30*D$43/1000)</f>
        <v>7005.2643180000086</v>
      </c>
      <c r="E197" s="135">
        <f t="shared" ref="E197:O197" si="112">IF(E112=0,0,$H$30*E$43/1000)</f>
        <v>5865.1987680000002</v>
      </c>
      <c r="F197" s="135">
        <f t="shared" si="112"/>
        <v>5467.1451119999956</v>
      </c>
      <c r="G197" s="135">
        <f t="shared" si="112"/>
        <v>4136.0839650000062</v>
      </c>
      <c r="H197" s="135">
        <f t="shared" si="112"/>
        <v>2362.6589219999987</v>
      </c>
      <c r="I197" s="135">
        <f t="shared" si="112"/>
        <v>0</v>
      </c>
      <c r="J197" s="135">
        <f t="shared" si="112"/>
        <v>0</v>
      </c>
      <c r="K197" s="135">
        <f t="shared" si="112"/>
        <v>0</v>
      </c>
      <c r="L197" s="135">
        <f t="shared" si="112"/>
        <v>0</v>
      </c>
      <c r="M197" s="135">
        <f t="shared" si="112"/>
        <v>1803.3344550000004</v>
      </c>
      <c r="N197" s="135">
        <f t="shared" si="112"/>
        <v>4351.9117590000005</v>
      </c>
      <c r="O197" s="135">
        <f t="shared" si="112"/>
        <v>6439.1086890000006</v>
      </c>
      <c r="P197" s="135">
        <f t="shared" si="108"/>
        <v>37430.705988000009</v>
      </c>
      <c r="Q197" s="209">
        <f t="shared" si="109"/>
        <v>23.652894779146926</v>
      </c>
    </row>
    <row r="198" spans="3:17">
      <c r="C198" s="713" t="s">
        <v>925</v>
      </c>
      <c r="D198" s="135">
        <f>IF(D112=0,0,$I$30*D$43/1000)</f>
        <v>0</v>
      </c>
      <c r="E198" s="135">
        <f t="shared" ref="E198:O198" si="113">IF(E112=0,0,$I$30*E$43/1000)</f>
        <v>0</v>
      </c>
      <c r="F198" s="135">
        <f t="shared" si="113"/>
        <v>0</v>
      </c>
      <c r="G198" s="135">
        <f t="shared" si="113"/>
        <v>0</v>
      </c>
      <c r="H198" s="135">
        <f t="shared" si="113"/>
        <v>0</v>
      </c>
      <c r="I198" s="135">
        <f t="shared" si="113"/>
        <v>0</v>
      </c>
      <c r="J198" s="135">
        <f t="shared" si="113"/>
        <v>0</v>
      </c>
      <c r="K198" s="135">
        <f t="shared" si="113"/>
        <v>0</v>
      </c>
      <c r="L198" s="135">
        <f t="shared" si="113"/>
        <v>0</v>
      </c>
      <c r="M198" s="135">
        <f t="shared" si="113"/>
        <v>0</v>
      </c>
      <c r="N198" s="135">
        <f t="shared" si="113"/>
        <v>0</v>
      </c>
      <c r="O198" s="135">
        <f t="shared" si="113"/>
        <v>0</v>
      </c>
      <c r="P198" s="135">
        <f t="shared" si="108"/>
        <v>0</v>
      </c>
      <c r="Q198" s="209">
        <f t="shared" si="109"/>
        <v>0</v>
      </c>
    </row>
    <row r="199" spans="3:17">
      <c r="C199" s="713" t="s">
        <v>926</v>
      </c>
      <c r="D199" s="135">
        <f>IF(D112=0,0,$J$30*D$43/1000)</f>
        <v>5091.9506000000065</v>
      </c>
      <c r="E199" s="135">
        <f t="shared" ref="E199:O199" si="114">IF(E112=0,0,$J$30*E$43/1000)</f>
        <v>4263.2655999999997</v>
      </c>
      <c r="F199" s="135">
        <f t="shared" si="114"/>
        <v>3973.9303999999966</v>
      </c>
      <c r="G199" s="135">
        <f t="shared" si="114"/>
        <v>3006.4155000000042</v>
      </c>
      <c r="H199" s="135">
        <f t="shared" si="114"/>
        <v>1717.3573999999987</v>
      </c>
      <c r="I199" s="135">
        <f t="shared" si="114"/>
        <v>0</v>
      </c>
      <c r="J199" s="135">
        <f t="shared" si="114"/>
        <v>0</v>
      </c>
      <c r="K199" s="135">
        <f t="shared" si="114"/>
        <v>0</v>
      </c>
      <c r="L199" s="135">
        <f t="shared" si="114"/>
        <v>0</v>
      </c>
      <c r="M199" s="135">
        <f t="shared" si="114"/>
        <v>1310.7985000000003</v>
      </c>
      <c r="N199" s="135">
        <f t="shared" si="114"/>
        <v>3163.2953000000002</v>
      </c>
      <c r="O199" s="135">
        <f t="shared" si="114"/>
        <v>4680.4263000000001</v>
      </c>
      <c r="P199" s="135">
        <f t="shared" si="108"/>
        <v>27207.439600000009</v>
      </c>
      <c r="Q199" s="209">
        <f t="shared" si="109"/>
        <v>17.192694849921018</v>
      </c>
    </row>
    <row r="200" spans="3:17">
      <c r="C200" s="713" t="s">
        <v>927</v>
      </c>
      <c r="D200" s="135">
        <f>IF(D112=0,0,$K$30*D$43/1000)</f>
        <v>0</v>
      </c>
      <c r="E200" s="135">
        <f t="shared" ref="E200:O200" si="115">IF(E112=0,0,$K$30*E$43/1000)</f>
        <v>0</v>
      </c>
      <c r="F200" s="135">
        <f t="shared" si="115"/>
        <v>0</v>
      </c>
      <c r="G200" s="135">
        <f t="shared" si="115"/>
        <v>0</v>
      </c>
      <c r="H200" s="135">
        <f t="shared" si="115"/>
        <v>0</v>
      </c>
      <c r="I200" s="135">
        <f t="shared" si="115"/>
        <v>0</v>
      </c>
      <c r="J200" s="135">
        <f t="shared" si="115"/>
        <v>0</v>
      </c>
      <c r="K200" s="135">
        <f t="shared" si="115"/>
        <v>0</v>
      </c>
      <c r="L200" s="135">
        <f t="shared" si="115"/>
        <v>0</v>
      </c>
      <c r="M200" s="135">
        <f t="shared" si="115"/>
        <v>0</v>
      </c>
      <c r="N200" s="135">
        <f t="shared" si="115"/>
        <v>0</v>
      </c>
      <c r="O200" s="135">
        <f t="shared" si="115"/>
        <v>0</v>
      </c>
      <c r="P200" s="135">
        <f t="shared" si="108"/>
        <v>0</v>
      </c>
      <c r="Q200" s="209">
        <f t="shared" si="109"/>
        <v>0</v>
      </c>
    </row>
    <row r="201" spans="3:17">
      <c r="C201" s="713" t="str">
        <f>CONCATENATE("Trans.Loss /",L13)</f>
        <v>Trans.Loss /wall 1</v>
      </c>
      <c r="D201" s="135">
        <f>IF(D112=0,0,$L$30*D$43/1000)</f>
        <v>1018.0865760000012</v>
      </c>
      <c r="E201" s="135">
        <f t="shared" ref="E201:O201" si="116">IF(E112=0,0,$L$30*E$43/1000)</f>
        <v>852.39897599999995</v>
      </c>
      <c r="F201" s="135">
        <f t="shared" si="116"/>
        <v>794.54918399999929</v>
      </c>
      <c r="G201" s="135">
        <f t="shared" si="116"/>
        <v>601.1038800000008</v>
      </c>
      <c r="H201" s="135">
        <f t="shared" si="116"/>
        <v>343.36910399999977</v>
      </c>
      <c r="I201" s="135">
        <f t="shared" si="116"/>
        <v>0</v>
      </c>
      <c r="J201" s="135">
        <f t="shared" si="116"/>
        <v>0</v>
      </c>
      <c r="K201" s="135">
        <f t="shared" si="116"/>
        <v>0</v>
      </c>
      <c r="L201" s="135">
        <f t="shared" si="116"/>
        <v>0</v>
      </c>
      <c r="M201" s="135">
        <f t="shared" si="116"/>
        <v>262.08156000000002</v>
      </c>
      <c r="N201" s="135">
        <f t="shared" si="116"/>
        <v>632.47048800000005</v>
      </c>
      <c r="O201" s="135">
        <f t="shared" si="116"/>
        <v>935.80624799999987</v>
      </c>
      <c r="P201" s="135">
        <f t="shared" si="108"/>
        <v>5439.8660160000009</v>
      </c>
      <c r="Q201" s="209">
        <f t="shared" si="109"/>
        <v>3.4375140701421807</v>
      </c>
    </row>
    <row r="202" spans="3:17">
      <c r="C202" s="713" t="str">
        <f>CONCATENATE("Trans.Loss /",M13)</f>
        <v>Trans.Loss /wall 2</v>
      </c>
      <c r="D202" s="135">
        <f>IF(D112=0,0,$M$30*D$43/1000)</f>
        <v>0</v>
      </c>
      <c r="E202" s="135">
        <f t="shared" ref="E202:O202" si="117">IF(E112=0,0,$M$30*E$43/1000)</f>
        <v>0</v>
      </c>
      <c r="F202" s="135">
        <f t="shared" si="117"/>
        <v>0</v>
      </c>
      <c r="G202" s="135">
        <f t="shared" si="117"/>
        <v>0</v>
      </c>
      <c r="H202" s="135">
        <f t="shared" si="117"/>
        <v>0</v>
      </c>
      <c r="I202" s="135">
        <f t="shared" si="117"/>
        <v>0</v>
      </c>
      <c r="J202" s="135">
        <f t="shared" si="117"/>
        <v>0</v>
      </c>
      <c r="K202" s="135">
        <f t="shared" si="117"/>
        <v>0</v>
      </c>
      <c r="L202" s="135">
        <f t="shared" si="117"/>
        <v>0</v>
      </c>
      <c r="M202" s="135">
        <f t="shared" si="117"/>
        <v>0</v>
      </c>
      <c r="N202" s="135">
        <f t="shared" si="117"/>
        <v>0</v>
      </c>
      <c r="O202" s="135">
        <f t="shared" si="117"/>
        <v>0</v>
      </c>
      <c r="P202" s="135">
        <f t="shared" si="108"/>
        <v>0</v>
      </c>
      <c r="Q202" s="209">
        <f t="shared" si="109"/>
        <v>0</v>
      </c>
    </row>
    <row r="203" spans="3:17">
      <c r="C203" s="713" t="str">
        <f>CONCATENATE("Trans.Loss /",N13)</f>
        <v>Trans.Loss /wall 3</v>
      </c>
      <c r="D203" s="135">
        <f>IF(D112=0,0,$N$30*D$43/1000)</f>
        <v>0</v>
      </c>
      <c r="E203" s="135">
        <f t="shared" ref="E203:O203" si="118">IF(E112=0,0,$N$30*E$43/1000)</f>
        <v>0</v>
      </c>
      <c r="F203" s="135">
        <f t="shared" si="118"/>
        <v>0</v>
      </c>
      <c r="G203" s="135">
        <f t="shared" si="118"/>
        <v>0</v>
      </c>
      <c r="H203" s="135">
        <f t="shared" si="118"/>
        <v>0</v>
      </c>
      <c r="I203" s="135">
        <f t="shared" si="118"/>
        <v>0</v>
      </c>
      <c r="J203" s="135">
        <f t="shared" si="118"/>
        <v>0</v>
      </c>
      <c r="K203" s="135">
        <f t="shared" si="118"/>
        <v>0</v>
      </c>
      <c r="L203" s="135">
        <f t="shared" si="118"/>
        <v>0</v>
      </c>
      <c r="M203" s="135">
        <f t="shared" si="118"/>
        <v>0</v>
      </c>
      <c r="N203" s="135">
        <f t="shared" si="118"/>
        <v>0</v>
      </c>
      <c r="O203" s="135">
        <f t="shared" si="118"/>
        <v>0</v>
      </c>
      <c r="P203" s="135">
        <f t="shared" si="108"/>
        <v>0</v>
      </c>
      <c r="Q203" s="209">
        <f t="shared" si="109"/>
        <v>0</v>
      </c>
    </row>
    <row r="204" spans="3:17">
      <c r="C204" s="713" t="str">
        <f>CONCATENATE("Trans.Loss /",O13)</f>
        <v>Trans.Loss /wall 4</v>
      </c>
      <c r="D204" s="135">
        <f>IF(D112=0,0,$O$30*D$43/1000)</f>
        <v>0</v>
      </c>
      <c r="E204" s="135">
        <f t="shared" ref="E204:O204" si="119">IF(E112=0,0,$O$30*E$43/1000)</f>
        <v>0</v>
      </c>
      <c r="F204" s="135">
        <f t="shared" si="119"/>
        <v>0</v>
      </c>
      <c r="G204" s="135">
        <f t="shared" si="119"/>
        <v>0</v>
      </c>
      <c r="H204" s="135">
        <f t="shared" si="119"/>
        <v>0</v>
      </c>
      <c r="I204" s="135">
        <f t="shared" si="119"/>
        <v>0</v>
      </c>
      <c r="J204" s="135">
        <f t="shared" si="119"/>
        <v>0</v>
      </c>
      <c r="K204" s="135">
        <f t="shared" si="119"/>
        <v>0</v>
      </c>
      <c r="L204" s="135">
        <f t="shared" si="119"/>
        <v>0</v>
      </c>
      <c r="M204" s="135">
        <f t="shared" si="119"/>
        <v>0</v>
      </c>
      <c r="N204" s="135">
        <f t="shared" si="119"/>
        <v>0</v>
      </c>
      <c r="O204" s="135">
        <f t="shared" si="119"/>
        <v>0</v>
      </c>
      <c r="P204" s="135">
        <f t="shared" si="108"/>
        <v>0</v>
      </c>
      <c r="Q204" s="209">
        <f t="shared" si="109"/>
        <v>0</v>
      </c>
    </row>
    <row r="205" spans="3:17">
      <c r="C205" s="713" t="s">
        <v>928</v>
      </c>
      <c r="D205" s="135">
        <f>D135</f>
        <v>5019.6936000000005</v>
      </c>
      <c r="E205" s="135">
        <f t="shared" ref="E205:O205" si="120">E135</f>
        <v>3989.1264000000001</v>
      </c>
      <c r="F205" s="135">
        <f t="shared" si="120"/>
        <v>3245.1047999999996</v>
      </c>
      <c r="G205" s="135">
        <f t="shared" si="120"/>
        <v>2064.6719999999996</v>
      </c>
      <c r="H205" s="135">
        <f t="shared" si="120"/>
        <v>34.893600000000141</v>
      </c>
      <c r="I205" s="135">
        <f t="shared" si="120"/>
        <v>0</v>
      </c>
      <c r="J205" s="135">
        <f t="shared" si="120"/>
        <v>0</v>
      </c>
      <c r="K205" s="135">
        <f t="shared" si="120"/>
        <v>0</v>
      </c>
      <c r="L205" s="135">
        <f t="shared" si="120"/>
        <v>0</v>
      </c>
      <c r="M205" s="135">
        <f t="shared" si="120"/>
        <v>2093.6159999999995</v>
      </c>
      <c r="N205" s="135">
        <f t="shared" si="120"/>
        <v>3564.9360000000006</v>
      </c>
      <c r="O205" s="135">
        <f t="shared" si="120"/>
        <v>4735.5600000000004</v>
      </c>
      <c r="P205" s="135">
        <f t="shared" si="108"/>
        <v>24747.6024</v>
      </c>
      <c r="Q205" s="209">
        <f t="shared" si="109"/>
        <v>15.638295355450238</v>
      </c>
    </row>
    <row r="206" spans="3:17">
      <c r="C206" s="712" t="s">
        <v>360</v>
      </c>
      <c r="D206" s="699">
        <f>SUM(D193:D204)</f>
        <v>24974.234372000032</v>
      </c>
      <c r="E206" s="699">
        <f t="shared" ref="E206:O206" si="121">SUM(E193:E204)</f>
        <v>20909.824671999999</v>
      </c>
      <c r="F206" s="699">
        <f t="shared" si="121"/>
        <v>19490.736847999986</v>
      </c>
      <c r="G206" s="699">
        <f t="shared" si="121"/>
        <v>14745.415110000024</v>
      </c>
      <c r="H206" s="699">
        <f t="shared" si="121"/>
        <v>8423.0365879999954</v>
      </c>
      <c r="I206" s="699">
        <f t="shared" si="121"/>
        <v>0</v>
      </c>
      <c r="J206" s="699">
        <f t="shared" si="121"/>
        <v>0</v>
      </c>
      <c r="K206" s="699">
        <f t="shared" si="121"/>
        <v>0</v>
      </c>
      <c r="L206" s="699">
        <f t="shared" si="121"/>
        <v>0</v>
      </c>
      <c r="M206" s="699">
        <f t="shared" si="121"/>
        <v>6429.0075700000007</v>
      </c>
      <c r="N206" s="699">
        <f t="shared" si="121"/>
        <v>15514.855586000001</v>
      </c>
      <c r="O206" s="699">
        <f t="shared" si="121"/>
        <v>22955.851805999999</v>
      </c>
      <c r="P206" s="699">
        <f t="shared" si="108"/>
        <v>133442.96255200004</v>
      </c>
      <c r="Q206" s="388">
        <f t="shared" si="109"/>
        <v>84.324146952290704</v>
      </c>
    </row>
    <row r="207" spans="3:17">
      <c r="C207" s="711" t="s">
        <v>915</v>
      </c>
      <c r="D207" s="699">
        <f>D206-D134</f>
        <v>0</v>
      </c>
      <c r="E207" s="699">
        <f t="shared" ref="E207:O207" si="122">E206-E134</f>
        <v>0</v>
      </c>
      <c r="F207" s="699">
        <f t="shared" si="122"/>
        <v>0</v>
      </c>
      <c r="G207" s="699">
        <f t="shared" si="122"/>
        <v>0</v>
      </c>
      <c r="H207" s="699">
        <f t="shared" si="122"/>
        <v>0</v>
      </c>
      <c r="I207" s="699">
        <f t="shared" si="122"/>
        <v>0</v>
      </c>
      <c r="J207" s="699">
        <f t="shared" si="122"/>
        <v>0</v>
      </c>
      <c r="K207" s="699">
        <f t="shared" si="122"/>
        <v>0</v>
      </c>
      <c r="L207" s="699">
        <f t="shared" si="122"/>
        <v>0</v>
      </c>
      <c r="M207" s="699">
        <f t="shared" si="122"/>
        <v>0</v>
      </c>
      <c r="N207" s="699">
        <f t="shared" si="122"/>
        <v>0</v>
      </c>
      <c r="O207" s="699">
        <f t="shared" si="122"/>
        <v>0</v>
      </c>
      <c r="P207" s="699"/>
      <c r="Q207" s="388">
        <f t="shared" si="109"/>
        <v>0</v>
      </c>
    </row>
    <row r="208" spans="3:17">
      <c r="C208" s="713" t="s">
        <v>938</v>
      </c>
      <c r="D208" s="135">
        <f>IF(D112=0,0,-D$105*$D$30*D$44/1000)</f>
        <v>-0.33665046044692482</v>
      </c>
      <c r="E208" s="135">
        <f t="shared" ref="E208:O208" si="123">IF(E112=0,0,-E$105*$D$30*E$44/1000)</f>
        <v>-0.39142061417254614</v>
      </c>
      <c r="F208" s="135">
        <f t="shared" si="123"/>
        <v>-1.4782899817353787</v>
      </c>
      <c r="G208" s="135">
        <f t="shared" si="123"/>
        <v>-7.5505966896005283</v>
      </c>
      <c r="H208" s="135">
        <f t="shared" si="123"/>
        <v>-29.17185469345257</v>
      </c>
      <c r="I208" s="135">
        <f t="shared" si="123"/>
        <v>0</v>
      </c>
      <c r="J208" s="135">
        <f t="shared" si="123"/>
        <v>0</v>
      </c>
      <c r="K208" s="135">
        <f t="shared" si="123"/>
        <v>0</v>
      </c>
      <c r="L208" s="135">
        <f t="shared" si="123"/>
        <v>0</v>
      </c>
      <c r="M208" s="135">
        <f t="shared" si="123"/>
        <v>-56.802205723239325</v>
      </c>
      <c r="N208" s="135">
        <f t="shared" si="123"/>
        <v>-2.7082439283057851</v>
      </c>
      <c r="O208" s="135">
        <f t="shared" si="123"/>
        <v>-2.3597052751399619</v>
      </c>
      <c r="P208" s="135">
        <f>SUM(D208:O208)</f>
        <v>-100.79896736609302</v>
      </c>
      <c r="Q208" s="209">
        <f t="shared" si="109"/>
        <v>-6.3696029931180426E-2</v>
      </c>
    </row>
    <row r="209" spans="3:17">
      <c r="C209" s="713" t="s">
        <v>939</v>
      </c>
      <c r="D209" s="135">
        <f>IF(D112=0,0,-D$105*$E$30*D$44/1000)</f>
        <v>0</v>
      </c>
      <c r="E209" s="135">
        <f t="shared" ref="E209:O209" si="124">IF(E112=0,0,-E$105*$E$30*E$44/1000)</f>
        <v>0</v>
      </c>
      <c r="F209" s="135">
        <f t="shared" si="124"/>
        <v>0</v>
      </c>
      <c r="G209" s="135">
        <f t="shared" si="124"/>
        <v>0</v>
      </c>
      <c r="H209" s="135">
        <f t="shared" si="124"/>
        <v>0</v>
      </c>
      <c r="I209" s="135">
        <f t="shared" si="124"/>
        <v>0</v>
      </c>
      <c r="J209" s="135">
        <f t="shared" si="124"/>
        <v>0</v>
      </c>
      <c r="K209" s="135">
        <f t="shared" si="124"/>
        <v>0</v>
      </c>
      <c r="L209" s="135">
        <f t="shared" si="124"/>
        <v>0</v>
      </c>
      <c r="M209" s="135">
        <f t="shared" si="124"/>
        <v>0</v>
      </c>
      <c r="N209" s="135">
        <f t="shared" si="124"/>
        <v>0</v>
      </c>
      <c r="O209" s="135">
        <f t="shared" si="124"/>
        <v>0</v>
      </c>
      <c r="P209" s="135">
        <f t="shared" ref="P209:P221" si="125">SUM(D209:O209)</f>
        <v>0</v>
      </c>
      <c r="Q209" s="209">
        <f t="shared" si="109"/>
        <v>0</v>
      </c>
    </row>
    <row r="210" spans="3:17">
      <c r="C210" s="713" t="s">
        <v>940</v>
      </c>
      <c r="D210" s="135">
        <f>IF(D112=0,0,-D$105*$F$30*D$44/1000)</f>
        <v>-1.6429930719131363</v>
      </c>
      <c r="E210" s="135">
        <f t="shared" ref="E210:O210" si="126">IF(E112=0,0,-E$105*$F$30*E$44/1000)</f>
        <v>-1.9102940077245705</v>
      </c>
      <c r="F210" s="135">
        <f t="shared" si="126"/>
        <v>-7.2146647149848278</v>
      </c>
      <c r="G210" s="135">
        <f t="shared" si="126"/>
        <v>-36.850025493370005</v>
      </c>
      <c r="H210" s="135">
        <f t="shared" si="126"/>
        <v>-142.37068053484995</v>
      </c>
      <c r="I210" s="135">
        <f t="shared" si="126"/>
        <v>0</v>
      </c>
      <c r="J210" s="135">
        <f t="shared" si="126"/>
        <v>0</v>
      </c>
      <c r="K210" s="135">
        <f t="shared" si="126"/>
        <v>0</v>
      </c>
      <c r="L210" s="135">
        <f t="shared" si="126"/>
        <v>0</v>
      </c>
      <c r="M210" s="135">
        <f t="shared" si="126"/>
        <v>-277.21818751939696</v>
      </c>
      <c r="N210" s="135">
        <f t="shared" si="126"/>
        <v>-13.217347171752154</v>
      </c>
      <c r="O210" s="135">
        <f t="shared" si="126"/>
        <v>-11.516334817023278</v>
      </c>
      <c r="P210" s="135">
        <f t="shared" si="125"/>
        <v>-491.94052733101495</v>
      </c>
      <c r="Q210" s="209">
        <f t="shared" si="109"/>
        <v>-0.31086289246825588</v>
      </c>
    </row>
    <row r="211" spans="3:17">
      <c r="C211" s="713" t="s">
        <v>941</v>
      </c>
      <c r="D211" s="135">
        <f>IF(D112=0,0,-D$105*$G$30*D$44/1000)</f>
        <v>-0.8017139831261817</v>
      </c>
      <c r="E211" s="135">
        <f t="shared" ref="E211:O211" si="127">IF(E112=0,0,-E$105*$G$30*E$44/1000)</f>
        <v>-0.93214599869956849</v>
      </c>
      <c r="F211" s="135">
        <f t="shared" si="127"/>
        <v>-3.5204637709368289</v>
      </c>
      <c r="G211" s="135">
        <f t="shared" si="127"/>
        <v>-17.981317889667235</v>
      </c>
      <c r="H211" s="135">
        <f t="shared" si="127"/>
        <v>-69.471117878222103</v>
      </c>
      <c r="I211" s="135">
        <f t="shared" si="127"/>
        <v>0</v>
      </c>
      <c r="J211" s="135">
        <f t="shared" si="127"/>
        <v>0</v>
      </c>
      <c r="K211" s="135">
        <f t="shared" si="127"/>
        <v>0</v>
      </c>
      <c r="L211" s="135">
        <f t="shared" si="127"/>
        <v>0</v>
      </c>
      <c r="M211" s="135">
        <f t="shared" si="127"/>
        <v>-135.27123218627096</v>
      </c>
      <c r="N211" s="135">
        <f t="shared" si="127"/>
        <v>-6.4495293550374884</v>
      </c>
      <c r="O211" s="135">
        <f t="shared" si="127"/>
        <v>-5.6195043150240318</v>
      </c>
      <c r="P211" s="135">
        <f t="shared" si="125"/>
        <v>-240.04702537698441</v>
      </c>
      <c r="Q211" s="209">
        <f t="shared" si="109"/>
        <v>-0.15168848365054308</v>
      </c>
    </row>
    <row r="212" spans="3:17">
      <c r="C212" s="713" t="s">
        <v>942</v>
      </c>
      <c r="D212" s="135">
        <f>IF(D112=0,0,-D$105*$H$30*D$44/1000)</f>
        <v>-1.6429930719131363</v>
      </c>
      <c r="E212" s="135">
        <f t="shared" ref="E212:O212" si="128">IF(E112=0,0,-E$105*$H$30*E$44/1000)</f>
        <v>-1.9102940077245705</v>
      </c>
      <c r="F212" s="135">
        <f t="shared" si="128"/>
        <v>-7.2146647149848278</v>
      </c>
      <c r="G212" s="135">
        <f t="shared" si="128"/>
        <v>-36.850025493370005</v>
      </c>
      <c r="H212" s="135">
        <f t="shared" si="128"/>
        <v>-142.37068053484995</v>
      </c>
      <c r="I212" s="135">
        <f t="shared" si="128"/>
        <v>0</v>
      </c>
      <c r="J212" s="135">
        <f t="shared" si="128"/>
        <v>0</v>
      </c>
      <c r="K212" s="135">
        <f t="shared" si="128"/>
        <v>0</v>
      </c>
      <c r="L212" s="135">
        <f t="shared" si="128"/>
        <v>0</v>
      </c>
      <c r="M212" s="135">
        <f t="shared" si="128"/>
        <v>-277.21818751939696</v>
      </c>
      <c r="N212" s="135">
        <f t="shared" si="128"/>
        <v>-13.217347171752154</v>
      </c>
      <c r="O212" s="135">
        <f t="shared" si="128"/>
        <v>-11.516334817023278</v>
      </c>
      <c r="P212" s="135">
        <f t="shared" si="125"/>
        <v>-491.94052733101495</v>
      </c>
      <c r="Q212" s="209">
        <f t="shared" si="109"/>
        <v>-0.31086289246825588</v>
      </c>
    </row>
    <row r="213" spans="3:17">
      <c r="C213" s="713" t="s">
        <v>943</v>
      </c>
      <c r="D213" s="135">
        <f>IF(D112=0,0,-D$105*$I$30*D$44/1000)</f>
        <v>0</v>
      </c>
      <c r="E213" s="135">
        <f t="shared" ref="E213:O213" si="129">IF(E112=0,0,-E$105*$I$30*E$44/1000)</f>
        <v>0</v>
      </c>
      <c r="F213" s="135">
        <f t="shared" si="129"/>
        <v>0</v>
      </c>
      <c r="G213" s="135">
        <f t="shared" si="129"/>
        <v>0</v>
      </c>
      <c r="H213" s="135">
        <f t="shared" si="129"/>
        <v>0</v>
      </c>
      <c r="I213" s="135">
        <f t="shared" si="129"/>
        <v>0</v>
      </c>
      <c r="J213" s="135">
        <f t="shared" si="129"/>
        <v>0</v>
      </c>
      <c r="K213" s="135">
        <f t="shared" si="129"/>
        <v>0</v>
      </c>
      <c r="L213" s="135">
        <f t="shared" si="129"/>
        <v>0</v>
      </c>
      <c r="M213" s="135">
        <f t="shared" si="129"/>
        <v>0</v>
      </c>
      <c r="N213" s="135">
        <f t="shared" si="129"/>
        <v>0</v>
      </c>
      <c r="O213" s="135">
        <f t="shared" si="129"/>
        <v>0</v>
      </c>
      <c r="P213" s="135">
        <f t="shared" si="125"/>
        <v>0</v>
      </c>
      <c r="Q213" s="209">
        <f t="shared" si="109"/>
        <v>0</v>
      </c>
    </row>
    <row r="214" spans="3:17">
      <c r="C214" s="713" t="s">
        <v>944</v>
      </c>
      <c r="D214" s="135">
        <f>IF(D112=0,0,-D$105*$J$30*D$44/1000)</f>
        <v>-1.1942503777948004</v>
      </c>
      <c r="E214" s="135">
        <f t="shared" ref="E214:O214" si="130">IF(E112=0,0,-E$105*$J$30*E$44/1000)</f>
        <v>-1.3885447111275626</v>
      </c>
      <c r="F214" s="135">
        <f t="shared" si="130"/>
        <v>-5.2441584866214059</v>
      </c>
      <c r="G214" s="135">
        <f t="shared" si="130"/>
        <v>-26.785357540163648</v>
      </c>
      <c r="H214" s="135">
        <f t="shared" si="130"/>
        <v>-103.48567009942728</v>
      </c>
      <c r="I214" s="135">
        <f t="shared" si="130"/>
        <v>0</v>
      </c>
      <c r="J214" s="135">
        <f t="shared" si="130"/>
        <v>0</v>
      </c>
      <c r="K214" s="135">
        <f t="shared" si="130"/>
        <v>0</v>
      </c>
      <c r="L214" s="135">
        <f t="shared" si="130"/>
        <v>0</v>
      </c>
      <c r="M214" s="135">
        <f t="shared" si="130"/>
        <v>-201.50293439224737</v>
      </c>
      <c r="N214" s="135">
        <f t="shared" si="130"/>
        <v>-9.6073575252084709</v>
      </c>
      <c r="O214" s="135">
        <f t="shared" si="130"/>
        <v>-8.3709343886804888</v>
      </c>
      <c r="P214" s="135">
        <f t="shared" si="125"/>
        <v>-357.57920752127103</v>
      </c>
      <c r="Q214" s="209">
        <f t="shared" si="109"/>
        <v>-0.22595842497394694</v>
      </c>
    </row>
    <row r="215" spans="3:17">
      <c r="C215" s="713" t="s">
        <v>945</v>
      </c>
      <c r="D215" s="135">
        <f>IF(D112=0,0,-D$105*$K$30*D$44/1000)</f>
        <v>0</v>
      </c>
      <c r="E215" s="135">
        <f t="shared" ref="E215:O215" si="131">IF(E112=0,0,-E$105*$K$30*E$44/1000)</f>
        <v>0</v>
      </c>
      <c r="F215" s="135">
        <f t="shared" si="131"/>
        <v>0</v>
      </c>
      <c r="G215" s="135">
        <f t="shared" si="131"/>
        <v>0</v>
      </c>
      <c r="H215" s="135">
        <f t="shared" si="131"/>
        <v>0</v>
      </c>
      <c r="I215" s="135">
        <f t="shared" si="131"/>
        <v>0</v>
      </c>
      <c r="J215" s="135">
        <f t="shared" si="131"/>
        <v>0</v>
      </c>
      <c r="K215" s="135">
        <f t="shared" si="131"/>
        <v>0</v>
      </c>
      <c r="L215" s="135">
        <f t="shared" si="131"/>
        <v>0</v>
      </c>
      <c r="M215" s="135">
        <f t="shared" si="131"/>
        <v>0</v>
      </c>
      <c r="N215" s="135">
        <f t="shared" si="131"/>
        <v>0</v>
      </c>
      <c r="O215" s="135">
        <f t="shared" si="131"/>
        <v>0</v>
      </c>
      <c r="P215" s="135">
        <f t="shared" si="125"/>
        <v>0</v>
      </c>
      <c r="Q215" s="209">
        <f t="shared" si="109"/>
        <v>0</v>
      </c>
    </row>
    <row r="216" spans="3:17">
      <c r="C216" s="713" t="str">
        <f>CONCATENATE("Trans.Gains /",L13)</f>
        <v>Trans.Gains /wall 1</v>
      </c>
      <c r="D216" s="135">
        <f>IF(D112=0,0,-D$105*$L$30*D$44/1000)</f>
        <v>-0.23877888328606622</v>
      </c>
      <c r="E216" s="135">
        <f t="shared" ref="E216:O216" si="132">IF(E112=0,0,-E$105*$L$30*E$44/1000)</f>
        <v>-0.27762616757805331</v>
      </c>
      <c r="F216" s="135">
        <f t="shared" si="132"/>
        <v>-1.0485190798288044</v>
      </c>
      <c r="G216" s="135">
        <f t="shared" si="132"/>
        <v>-5.3554747654073847</v>
      </c>
      <c r="H216" s="135">
        <f t="shared" si="132"/>
        <v>-20.690964978448832</v>
      </c>
      <c r="I216" s="135">
        <f t="shared" si="132"/>
        <v>0</v>
      </c>
      <c r="J216" s="135">
        <f t="shared" si="132"/>
        <v>0</v>
      </c>
      <c r="K216" s="135">
        <f t="shared" si="132"/>
        <v>0</v>
      </c>
      <c r="L216" s="135">
        <f t="shared" si="132"/>
        <v>0</v>
      </c>
      <c r="M216" s="135">
        <f t="shared" si="132"/>
        <v>-40.288574781019236</v>
      </c>
      <c r="N216" s="135">
        <f t="shared" si="132"/>
        <v>-1.9208987862622475</v>
      </c>
      <c r="O216" s="135">
        <f t="shared" si="132"/>
        <v>-1.6736878652539109</v>
      </c>
      <c r="P216" s="135">
        <f t="shared" si="125"/>
        <v>-71.49452530708453</v>
      </c>
      <c r="Q216" s="209">
        <f t="shared" si="109"/>
        <v>-4.5178215043971265E-2</v>
      </c>
    </row>
    <row r="217" spans="3:17">
      <c r="C217" s="713" t="str">
        <f>CONCATENATE("Trans.Gains /",M13)</f>
        <v>Trans.Gains /wall 2</v>
      </c>
      <c r="D217" s="135">
        <f>IF(D112=0,0,-D$105*$M$30*D$44/1000)</f>
        <v>0</v>
      </c>
      <c r="E217" s="135">
        <f t="shared" ref="E217:O217" si="133">IF(E112=0,0,-E$105*$M$30*E$44/1000)</f>
        <v>0</v>
      </c>
      <c r="F217" s="135">
        <f t="shared" si="133"/>
        <v>0</v>
      </c>
      <c r="G217" s="135">
        <f t="shared" si="133"/>
        <v>0</v>
      </c>
      <c r="H217" s="135">
        <f t="shared" si="133"/>
        <v>0</v>
      </c>
      <c r="I217" s="135">
        <f t="shared" si="133"/>
        <v>0</v>
      </c>
      <c r="J217" s="135">
        <f t="shared" si="133"/>
        <v>0</v>
      </c>
      <c r="K217" s="135">
        <f t="shared" si="133"/>
        <v>0</v>
      </c>
      <c r="L217" s="135">
        <f t="shared" si="133"/>
        <v>0</v>
      </c>
      <c r="M217" s="135">
        <f t="shared" si="133"/>
        <v>0</v>
      </c>
      <c r="N217" s="135">
        <f t="shared" si="133"/>
        <v>0</v>
      </c>
      <c r="O217" s="135">
        <f t="shared" si="133"/>
        <v>0</v>
      </c>
      <c r="P217" s="135">
        <f t="shared" si="125"/>
        <v>0</v>
      </c>
      <c r="Q217" s="209">
        <f t="shared" si="109"/>
        <v>0</v>
      </c>
    </row>
    <row r="218" spans="3:17">
      <c r="C218" s="713" t="str">
        <f>CONCATENATE("Trans.Gains /",N13)</f>
        <v>Trans.Gains /wall 3</v>
      </c>
      <c r="D218" s="135">
        <f>IF(D112=0,0,-D$105*$N$30*D$44/1000)</f>
        <v>0</v>
      </c>
      <c r="E218" s="135">
        <f t="shared" ref="E218:O218" si="134">IF(E112=0,0,-E$105*$N$30*E$44/1000)</f>
        <v>0</v>
      </c>
      <c r="F218" s="135">
        <f t="shared" si="134"/>
        <v>0</v>
      </c>
      <c r="G218" s="135">
        <f t="shared" si="134"/>
        <v>0</v>
      </c>
      <c r="H218" s="135">
        <f t="shared" si="134"/>
        <v>0</v>
      </c>
      <c r="I218" s="135">
        <f t="shared" si="134"/>
        <v>0</v>
      </c>
      <c r="J218" s="135">
        <f t="shared" si="134"/>
        <v>0</v>
      </c>
      <c r="K218" s="135">
        <f t="shared" si="134"/>
        <v>0</v>
      </c>
      <c r="L218" s="135">
        <f t="shared" si="134"/>
        <v>0</v>
      </c>
      <c r="M218" s="135">
        <f t="shared" si="134"/>
        <v>0</v>
      </c>
      <c r="N218" s="135">
        <f t="shared" si="134"/>
        <v>0</v>
      </c>
      <c r="O218" s="135">
        <f t="shared" si="134"/>
        <v>0</v>
      </c>
      <c r="P218" s="135">
        <f t="shared" si="125"/>
        <v>0</v>
      </c>
      <c r="Q218" s="209">
        <f t="shared" si="109"/>
        <v>0</v>
      </c>
    </row>
    <row r="219" spans="3:17">
      <c r="C219" s="713" t="str">
        <f>CONCATENATE("Trans.Gains /",O13)</f>
        <v>Trans.Gains /wall 4</v>
      </c>
      <c r="D219" s="135">
        <f>IF(D112=0,0,-D$105*$O$30*D$44/1000)</f>
        <v>0</v>
      </c>
      <c r="E219" s="135">
        <f t="shared" ref="E219:O219" si="135">IF(E112=0,0,-E$105*$O$30*E$44/1000)</f>
        <v>0</v>
      </c>
      <c r="F219" s="135">
        <f t="shared" si="135"/>
        <v>0</v>
      </c>
      <c r="G219" s="135">
        <f t="shared" si="135"/>
        <v>0</v>
      </c>
      <c r="H219" s="135">
        <f t="shared" si="135"/>
        <v>0</v>
      </c>
      <c r="I219" s="135">
        <f t="shared" si="135"/>
        <v>0</v>
      </c>
      <c r="J219" s="135">
        <f t="shared" si="135"/>
        <v>0</v>
      </c>
      <c r="K219" s="135">
        <f t="shared" si="135"/>
        <v>0</v>
      </c>
      <c r="L219" s="135">
        <f t="shared" si="135"/>
        <v>0</v>
      </c>
      <c r="M219" s="135">
        <f t="shared" si="135"/>
        <v>0</v>
      </c>
      <c r="N219" s="135">
        <f t="shared" si="135"/>
        <v>0</v>
      </c>
      <c r="O219" s="135">
        <f t="shared" si="135"/>
        <v>0</v>
      </c>
      <c r="P219" s="135">
        <f t="shared" si="125"/>
        <v>0</v>
      </c>
      <c r="Q219" s="209">
        <f t="shared" si="109"/>
        <v>0</v>
      </c>
    </row>
    <row r="220" spans="3:17">
      <c r="C220" s="713" t="s">
        <v>946</v>
      </c>
      <c r="D220" s="135">
        <f>D142</f>
        <v>0</v>
      </c>
      <c r="E220" s="135">
        <f t="shared" ref="E220:O220" si="136">E142</f>
        <v>0</v>
      </c>
      <c r="F220" s="135">
        <f t="shared" si="136"/>
        <v>0</v>
      </c>
      <c r="G220" s="135">
        <f t="shared" si="136"/>
        <v>0</v>
      </c>
      <c r="H220" s="135">
        <f t="shared" si="136"/>
        <v>0</v>
      </c>
      <c r="I220" s="135">
        <f t="shared" si="136"/>
        <v>0</v>
      </c>
      <c r="J220" s="135">
        <f t="shared" si="136"/>
        <v>0</v>
      </c>
      <c r="K220" s="135">
        <f t="shared" si="136"/>
        <v>0</v>
      </c>
      <c r="L220" s="135">
        <f t="shared" si="136"/>
        <v>0</v>
      </c>
      <c r="M220" s="135">
        <f t="shared" si="136"/>
        <v>0</v>
      </c>
      <c r="N220" s="135">
        <f t="shared" si="136"/>
        <v>0</v>
      </c>
      <c r="O220" s="135">
        <f t="shared" si="136"/>
        <v>0</v>
      </c>
      <c r="P220" s="135">
        <f t="shared" si="125"/>
        <v>0</v>
      </c>
      <c r="Q220" s="209">
        <f t="shared" si="109"/>
        <v>0</v>
      </c>
    </row>
    <row r="221" spans="3:17">
      <c r="C221" s="712" t="s">
        <v>360</v>
      </c>
      <c r="D221" s="699">
        <f>SUM(D208:D219)</f>
        <v>-5.857379848480246</v>
      </c>
      <c r="E221" s="699">
        <f t="shared" ref="E221:O221" si="137">SUM(E208:E219)</f>
        <v>-6.8103255070268718</v>
      </c>
      <c r="F221" s="699">
        <f t="shared" si="137"/>
        <v>-25.720760749092072</v>
      </c>
      <c r="G221" s="699">
        <f t="shared" si="137"/>
        <v>-131.3727978715788</v>
      </c>
      <c r="H221" s="699">
        <f t="shared" si="137"/>
        <v>-507.5609687192507</v>
      </c>
      <c r="I221" s="699">
        <f t="shared" si="137"/>
        <v>0</v>
      </c>
      <c r="J221" s="699">
        <f t="shared" si="137"/>
        <v>0</v>
      </c>
      <c r="K221" s="699">
        <f t="shared" si="137"/>
        <v>0</v>
      </c>
      <c r="L221" s="699">
        <f t="shared" si="137"/>
        <v>0</v>
      </c>
      <c r="M221" s="699">
        <f t="shared" si="137"/>
        <v>-988.30132212157082</v>
      </c>
      <c r="N221" s="699">
        <f t="shared" si="137"/>
        <v>-47.120723938318299</v>
      </c>
      <c r="O221" s="699">
        <f t="shared" si="137"/>
        <v>-41.056501478144952</v>
      </c>
      <c r="P221" s="699">
        <f t="shared" si="125"/>
        <v>-1753.800780233463</v>
      </c>
      <c r="Q221" s="388">
        <f t="shared" si="109"/>
        <v>-1.1082469385361535</v>
      </c>
    </row>
    <row r="222" spans="3:17">
      <c r="C222" s="472" t="s">
        <v>915</v>
      </c>
      <c r="D222" s="699">
        <f>D221-D141</f>
        <v>0</v>
      </c>
      <c r="E222" s="699">
        <f t="shared" ref="E222:O222" si="138">E221-E141</f>
        <v>0</v>
      </c>
      <c r="F222" s="699">
        <f t="shared" si="138"/>
        <v>0</v>
      </c>
      <c r="G222" s="699">
        <f t="shared" si="138"/>
        <v>0</v>
      </c>
      <c r="H222" s="699">
        <f t="shared" si="138"/>
        <v>0</v>
      </c>
      <c r="I222" s="699">
        <f t="shared" si="138"/>
        <v>0</v>
      </c>
      <c r="J222" s="699">
        <f t="shared" si="138"/>
        <v>0</v>
      </c>
      <c r="K222" s="699">
        <f t="shared" si="138"/>
        <v>0</v>
      </c>
      <c r="L222" s="699">
        <f t="shared" si="138"/>
        <v>0</v>
      </c>
      <c r="M222" s="699">
        <f t="shared" si="138"/>
        <v>0</v>
      </c>
      <c r="N222" s="699">
        <f t="shared" si="138"/>
        <v>0</v>
      </c>
      <c r="O222" s="699">
        <f t="shared" si="138"/>
        <v>0</v>
      </c>
      <c r="P222" s="699"/>
      <c r="Q222" s="388"/>
    </row>
    <row r="223" spans="3:17" ht="15" thickBot="1"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701"/>
    </row>
    <row r="224" spans="3:17" ht="15">
      <c r="C224" s="709" t="s">
        <v>956</v>
      </c>
      <c r="D224" s="697" t="s">
        <v>832</v>
      </c>
      <c r="E224" s="698" t="s">
        <v>842</v>
      </c>
      <c r="F224" s="698" t="s">
        <v>833</v>
      </c>
      <c r="G224" s="698" t="s">
        <v>834</v>
      </c>
      <c r="H224" s="698" t="s">
        <v>835</v>
      </c>
      <c r="I224" s="698" t="s">
        <v>836</v>
      </c>
      <c r="J224" s="698" t="s">
        <v>837</v>
      </c>
      <c r="K224" s="698" t="s">
        <v>838</v>
      </c>
      <c r="L224" s="698" t="s">
        <v>839</v>
      </c>
      <c r="M224" s="698" t="s">
        <v>840</v>
      </c>
      <c r="N224" s="698" t="s">
        <v>841</v>
      </c>
      <c r="O224" s="702" t="s">
        <v>843</v>
      </c>
      <c r="P224" s="135" t="s">
        <v>918</v>
      </c>
      <c r="Q224" s="209" t="s">
        <v>917</v>
      </c>
    </row>
    <row r="225" spans="3:17">
      <c r="C225" s="713" t="s">
        <v>920</v>
      </c>
      <c r="D225" s="135">
        <f>IF(D$113=0,0,-D$106*$D$30*D$46/1000)</f>
        <v>0</v>
      </c>
      <c r="E225" s="135">
        <f t="shared" ref="E225:O225" si="139">IF(E113=0,0,-E$106*$D$30*E$46/1000)</f>
        <v>0</v>
      </c>
      <c r="F225" s="135">
        <f t="shared" si="139"/>
        <v>0</v>
      </c>
      <c r="G225" s="135">
        <f t="shared" si="139"/>
        <v>0</v>
      </c>
      <c r="H225" s="135">
        <f t="shared" si="139"/>
        <v>-378.75005259533452</v>
      </c>
      <c r="I225" s="135">
        <f t="shared" si="139"/>
        <v>-330.12086023778636</v>
      </c>
      <c r="J225" s="135">
        <f t="shared" si="139"/>
        <v>-265.46733521987795</v>
      </c>
      <c r="K225" s="135">
        <f t="shared" si="139"/>
        <v>-246.3194025290305</v>
      </c>
      <c r="L225" s="135">
        <f t="shared" si="139"/>
        <v>-249.53168986881806</v>
      </c>
      <c r="M225" s="135">
        <f t="shared" si="139"/>
        <v>0</v>
      </c>
      <c r="N225" s="135">
        <f t="shared" si="139"/>
        <v>0</v>
      </c>
      <c r="O225" s="135">
        <f t="shared" si="139"/>
        <v>0</v>
      </c>
      <c r="P225" s="135">
        <f>SUM(D225:O225)</f>
        <v>-1470.1893404508473</v>
      </c>
      <c r="Q225" s="209">
        <f t="shared" ref="Q225:Q253" si="140">P225/$D$3</f>
        <v>-0.92902959902107252</v>
      </c>
    </row>
    <row r="226" spans="3:17">
      <c r="C226" s="713" t="s">
        <v>921</v>
      </c>
      <c r="D226" s="135">
        <f>IF(D$113=0,0,-D$106*$E$30*D$46/1000)</f>
        <v>0</v>
      </c>
      <c r="E226" s="135">
        <f t="shared" ref="E226:O226" si="141">IF(E$113=0,0,-E$106*$E$30*E$46/1000)</f>
        <v>0</v>
      </c>
      <c r="F226" s="135">
        <f t="shared" si="141"/>
        <v>0</v>
      </c>
      <c r="G226" s="135">
        <f t="shared" si="141"/>
        <v>0</v>
      </c>
      <c r="H226" s="135">
        <f t="shared" si="141"/>
        <v>0</v>
      </c>
      <c r="I226" s="135">
        <f t="shared" si="141"/>
        <v>0</v>
      </c>
      <c r="J226" s="135">
        <f t="shared" si="141"/>
        <v>0</v>
      </c>
      <c r="K226" s="135">
        <f t="shared" si="141"/>
        <v>0</v>
      </c>
      <c r="L226" s="135">
        <f t="shared" si="141"/>
        <v>0</v>
      </c>
      <c r="M226" s="135">
        <f t="shared" si="141"/>
        <v>0</v>
      </c>
      <c r="N226" s="135">
        <f t="shared" si="141"/>
        <v>0</v>
      </c>
      <c r="O226" s="135">
        <f t="shared" si="141"/>
        <v>0</v>
      </c>
      <c r="P226" s="135">
        <f t="shared" ref="P226:P253" si="142">SUM(D226:O226)</f>
        <v>0</v>
      </c>
      <c r="Q226" s="209">
        <f t="shared" si="140"/>
        <v>0</v>
      </c>
    </row>
    <row r="227" spans="3:17">
      <c r="C227" s="713" t="s">
        <v>922</v>
      </c>
      <c r="D227" s="135">
        <f>IF(D$113=0,0,-D$106*$F$30*D$46/1000)</f>
        <v>0</v>
      </c>
      <c r="E227" s="135">
        <f t="shared" ref="E227:O227" si="143">IF(E$113=0,0,-E$106*$F$30*E$46/1000)</f>
        <v>0</v>
      </c>
      <c r="F227" s="135">
        <f t="shared" si="143"/>
        <v>0</v>
      </c>
      <c r="G227" s="135">
        <f t="shared" si="143"/>
        <v>0</v>
      </c>
      <c r="H227" s="135">
        <f t="shared" si="143"/>
        <v>-1848.456442253932</v>
      </c>
      <c r="I227" s="135">
        <f t="shared" si="143"/>
        <v>-1611.1259302738977</v>
      </c>
      <c r="J227" s="135">
        <f t="shared" si="143"/>
        <v>-1295.5900669390746</v>
      </c>
      <c r="K227" s="135">
        <f t="shared" si="143"/>
        <v>-1202.1402593530208</v>
      </c>
      <c r="L227" s="135">
        <f t="shared" si="143"/>
        <v>-1217.8175462257575</v>
      </c>
      <c r="M227" s="135">
        <f t="shared" si="143"/>
        <v>0</v>
      </c>
      <c r="N227" s="135">
        <f t="shared" si="143"/>
        <v>0</v>
      </c>
      <c r="O227" s="135">
        <f t="shared" si="143"/>
        <v>0</v>
      </c>
      <c r="P227" s="135">
        <f t="shared" si="142"/>
        <v>-7175.1302450456833</v>
      </c>
      <c r="Q227" s="209">
        <f t="shared" si="140"/>
        <v>-4.5340475482121221</v>
      </c>
    </row>
    <row r="228" spans="3:17">
      <c r="C228" s="713" t="s">
        <v>923</v>
      </c>
      <c r="D228" s="135">
        <f>IF(D$113=0,0,-D$106*$G$30*D$46/1000)</f>
        <v>0</v>
      </c>
      <c r="E228" s="135">
        <f t="shared" ref="E228:O228" si="144">IF(E$113=0,0,-E$106*$G$30*E$46/1000)</f>
        <v>0</v>
      </c>
      <c r="F228" s="135">
        <f t="shared" si="144"/>
        <v>0</v>
      </c>
      <c r="G228" s="135">
        <f t="shared" si="144"/>
        <v>0</v>
      </c>
      <c r="H228" s="135">
        <f t="shared" si="144"/>
        <v>-901.97177473734303</v>
      </c>
      <c r="I228" s="135">
        <f t="shared" si="144"/>
        <v>-786.16411046318194</v>
      </c>
      <c r="J228" s="135">
        <f t="shared" si="144"/>
        <v>-632.19540655455467</v>
      </c>
      <c r="K228" s="135">
        <f t="shared" si="144"/>
        <v>-586.59569055882503</v>
      </c>
      <c r="L228" s="135">
        <f t="shared" si="144"/>
        <v>-594.24557071852541</v>
      </c>
      <c r="M228" s="135">
        <f t="shared" si="144"/>
        <v>0</v>
      </c>
      <c r="N228" s="135">
        <f t="shared" si="144"/>
        <v>0</v>
      </c>
      <c r="O228" s="135">
        <f t="shared" si="144"/>
        <v>0</v>
      </c>
      <c r="P228" s="135">
        <f t="shared" si="142"/>
        <v>-3501.1725530324302</v>
      </c>
      <c r="Q228" s="209">
        <f t="shared" si="140"/>
        <v>-2.2124313131326572</v>
      </c>
    </row>
    <row r="229" spans="3:17">
      <c r="C229" s="713" t="s">
        <v>924</v>
      </c>
      <c r="D229" s="135">
        <f>IF(D$113=0,0,-D$106*$H$30*D$46/1000)</f>
        <v>0</v>
      </c>
      <c r="E229" s="135">
        <f t="shared" ref="E229:O229" si="145">IF(E$113=0,0,-E$106*$H$30*E$46/1000)</f>
        <v>0</v>
      </c>
      <c r="F229" s="135">
        <f t="shared" si="145"/>
        <v>0</v>
      </c>
      <c r="G229" s="135">
        <f t="shared" si="145"/>
        <v>0</v>
      </c>
      <c r="H229" s="135">
        <f t="shared" si="145"/>
        <v>-1848.456442253932</v>
      </c>
      <c r="I229" s="135">
        <f t="shared" si="145"/>
        <v>-1611.1259302738977</v>
      </c>
      <c r="J229" s="135">
        <f t="shared" si="145"/>
        <v>-1295.5900669390746</v>
      </c>
      <c r="K229" s="135">
        <f t="shared" si="145"/>
        <v>-1202.1402593530208</v>
      </c>
      <c r="L229" s="135">
        <f t="shared" si="145"/>
        <v>-1217.8175462257575</v>
      </c>
      <c r="M229" s="135">
        <f t="shared" si="145"/>
        <v>0</v>
      </c>
      <c r="N229" s="135">
        <f t="shared" si="145"/>
        <v>0</v>
      </c>
      <c r="O229" s="135">
        <f t="shared" si="145"/>
        <v>0</v>
      </c>
      <c r="P229" s="135">
        <f t="shared" si="142"/>
        <v>-7175.1302450456833</v>
      </c>
      <c r="Q229" s="209">
        <f t="shared" si="140"/>
        <v>-4.5340475482121221</v>
      </c>
    </row>
    <row r="230" spans="3:17">
      <c r="C230" s="713" t="s">
        <v>925</v>
      </c>
      <c r="D230" s="135">
        <f>IF(D$113=0,0,-D$106*$I$30*D$46/1000)</f>
        <v>0</v>
      </c>
      <c r="E230" s="135">
        <f t="shared" ref="E230:O230" si="146">IF(E$113=0,0,-E$106*$I$30*E$46/1000)</f>
        <v>0</v>
      </c>
      <c r="F230" s="135">
        <f t="shared" si="146"/>
        <v>0</v>
      </c>
      <c r="G230" s="135">
        <f t="shared" si="146"/>
        <v>0</v>
      </c>
      <c r="H230" s="135">
        <f t="shared" si="146"/>
        <v>0</v>
      </c>
      <c r="I230" s="135">
        <f t="shared" si="146"/>
        <v>0</v>
      </c>
      <c r="J230" s="135">
        <f t="shared" si="146"/>
        <v>0</v>
      </c>
      <c r="K230" s="135">
        <f t="shared" si="146"/>
        <v>0</v>
      </c>
      <c r="L230" s="135">
        <f t="shared" si="146"/>
        <v>0</v>
      </c>
      <c r="M230" s="135">
        <f t="shared" si="146"/>
        <v>0</v>
      </c>
      <c r="N230" s="135">
        <f t="shared" si="146"/>
        <v>0</v>
      </c>
      <c r="O230" s="135">
        <f t="shared" si="146"/>
        <v>0</v>
      </c>
      <c r="P230" s="135">
        <f t="shared" si="142"/>
        <v>0</v>
      </c>
      <c r="Q230" s="209">
        <f t="shared" si="140"/>
        <v>0</v>
      </c>
    </row>
    <row r="231" spans="3:17">
      <c r="C231" s="713" t="s">
        <v>926</v>
      </c>
      <c r="D231" s="135">
        <f>IF(D$113=0,0,-D$106*$J$30*D$46/1000)</f>
        <v>0</v>
      </c>
      <c r="E231" s="135">
        <f t="shared" ref="E231:O231" si="147">IF(E$113=0,0,-E$106*$J$30*E$46/1000)</f>
        <v>0</v>
      </c>
      <c r="F231" s="135">
        <f t="shared" si="147"/>
        <v>0</v>
      </c>
      <c r="G231" s="135">
        <f t="shared" si="147"/>
        <v>0</v>
      </c>
      <c r="H231" s="135">
        <f t="shared" si="147"/>
        <v>-1343.5965386807795</v>
      </c>
      <c r="I231" s="135">
        <f t="shared" si="147"/>
        <v>-1171.0869533151183</v>
      </c>
      <c r="J231" s="135">
        <f t="shared" si="147"/>
        <v>-941.73186324365918</v>
      </c>
      <c r="K231" s="135">
        <f t="shared" si="147"/>
        <v>-873.80554637578348</v>
      </c>
      <c r="L231" s="135">
        <f t="shared" si="147"/>
        <v>-885.20097225470215</v>
      </c>
      <c r="M231" s="135">
        <f t="shared" si="147"/>
        <v>0</v>
      </c>
      <c r="N231" s="135">
        <f t="shared" si="147"/>
        <v>0</v>
      </c>
      <c r="O231" s="135">
        <f t="shared" si="147"/>
        <v>0</v>
      </c>
      <c r="P231" s="135">
        <f t="shared" si="142"/>
        <v>-5215.421873870042</v>
      </c>
      <c r="Q231" s="209">
        <f t="shared" si="140"/>
        <v>-3.2956852283538969</v>
      </c>
    </row>
    <row r="232" spans="3:17">
      <c r="C232" s="713" t="s">
        <v>927</v>
      </c>
      <c r="D232" s="135">
        <f>IF(D$113=0,0,-D$106*$K$30*D$46/1000)</f>
        <v>0</v>
      </c>
      <c r="E232" s="135">
        <f t="shared" ref="E232:O232" si="148">IF(E$113=0,0,-E$106*$K$30*E$46/1000)</f>
        <v>0</v>
      </c>
      <c r="F232" s="135">
        <f t="shared" si="148"/>
        <v>0</v>
      </c>
      <c r="G232" s="135">
        <f t="shared" si="148"/>
        <v>0</v>
      </c>
      <c r="H232" s="135">
        <f t="shared" si="148"/>
        <v>0</v>
      </c>
      <c r="I232" s="135">
        <f t="shared" si="148"/>
        <v>0</v>
      </c>
      <c r="J232" s="135">
        <f t="shared" si="148"/>
        <v>0</v>
      </c>
      <c r="K232" s="135">
        <f t="shared" si="148"/>
        <v>0</v>
      </c>
      <c r="L232" s="135">
        <f t="shared" si="148"/>
        <v>0</v>
      </c>
      <c r="M232" s="135">
        <f t="shared" si="148"/>
        <v>0</v>
      </c>
      <c r="N232" s="135">
        <f t="shared" si="148"/>
        <v>0</v>
      </c>
      <c r="O232" s="135">
        <f t="shared" si="148"/>
        <v>0</v>
      </c>
      <c r="P232" s="135">
        <f t="shared" si="142"/>
        <v>0</v>
      </c>
      <c r="Q232" s="209">
        <f t="shared" si="140"/>
        <v>0</v>
      </c>
    </row>
    <row r="233" spans="3:17">
      <c r="C233" s="713" t="str">
        <f>CONCATENATE("Trans.Loss /",L13)</f>
        <v>Trans.Loss /wall 1</v>
      </c>
      <c r="D233" s="135">
        <f>IF(D$113=0,0,-D$106*$L$30*D$46/1000)</f>
        <v>0</v>
      </c>
      <c r="E233" s="135">
        <f t="shared" ref="E233:O233" si="149">IF(E$113=0,0,-E$106*$L$30*E$46/1000)</f>
        <v>0</v>
      </c>
      <c r="F233" s="135">
        <f t="shared" si="149"/>
        <v>0</v>
      </c>
      <c r="G233" s="135">
        <f t="shared" si="149"/>
        <v>0</v>
      </c>
      <c r="H233" s="135">
        <f t="shared" si="149"/>
        <v>-268.63921256246408</v>
      </c>
      <c r="I233" s="135">
        <f t="shared" si="149"/>
        <v>-234.14757922020314</v>
      </c>
      <c r="J233" s="135">
        <f t="shared" si="149"/>
        <v>-188.29023364049078</v>
      </c>
      <c r="K233" s="135">
        <f t="shared" si="149"/>
        <v>-174.70901952574533</v>
      </c>
      <c r="L233" s="135">
        <f t="shared" si="149"/>
        <v>-176.98742539149157</v>
      </c>
      <c r="M233" s="135">
        <f t="shared" si="149"/>
        <v>0</v>
      </c>
      <c r="N233" s="135">
        <f t="shared" si="149"/>
        <v>0</v>
      </c>
      <c r="O233" s="135">
        <f t="shared" si="149"/>
        <v>0</v>
      </c>
      <c r="P233" s="135">
        <f t="shared" si="142"/>
        <v>-1042.7734703403949</v>
      </c>
      <c r="Q233" s="209">
        <f t="shared" si="140"/>
        <v>-0.65894058157370927</v>
      </c>
    </row>
    <row r="234" spans="3:17">
      <c r="C234" s="713" t="str">
        <f>CONCATENATE("Trans.Loss /",M13)</f>
        <v>Trans.Loss /wall 2</v>
      </c>
      <c r="D234" s="135">
        <f>IF(D$113=0,0,-D$106*$M$30*D$46/1000)</f>
        <v>0</v>
      </c>
      <c r="E234" s="135">
        <f t="shared" ref="E234:O234" si="150">IF(E$113=0,0,-E$106*$M$30*E$46/1000)</f>
        <v>0</v>
      </c>
      <c r="F234" s="135">
        <f t="shared" si="150"/>
        <v>0</v>
      </c>
      <c r="G234" s="135">
        <f t="shared" si="150"/>
        <v>0</v>
      </c>
      <c r="H234" s="135">
        <f t="shared" si="150"/>
        <v>0</v>
      </c>
      <c r="I234" s="135">
        <f t="shared" si="150"/>
        <v>0</v>
      </c>
      <c r="J234" s="135">
        <f t="shared" si="150"/>
        <v>0</v>
      </c>
      <c r="K234" s="135">
        <f t="shared" si="150"/>
        <v>0</v>
      </c>
      <c r="L234" s="135">
        <f t="shared" si="150"/>
        <v>0</v>
      </c>
      <c r="M234" s="135">
        <f t="shared" si="150"/>
        <v>0</v>
      </c>
      <c r="N234" s="135">
        <f t="shared" si="150"/>
        <v>0</v>
      </c>
      <c r="O234" s="135">
        <f t="shared" si="150"/>
        <v>0</v>
      </c>
      <c r="P234" s="135">
        <f t="shared" si="142"/>
        <v>0</v>
      </c>
      <c r="Q234" s="209">
        <f t="shared" si="140"/>
        <v>0</v>
      </c>
    </row>
    <row r="235" spans="3:17">
      <c r="C235" s="713" t="str">
        <f>CONCATENATE("Trans.Loss /",N13)</f>
        <v>Trans.Loss /wall 3</v>
      </c>
      <c r="D235" s="135">
        <f>IF(D$113=0,0,-D$106*$N$30*D$46/1000)</f>
        <v>0</v>
      </c>
      <c r="E235" s="135">
        <f t="shared" ref="E235:O235" si="151">IF(E$113=0,0,-E$106*$N$30*E$46/1000)</f>
        <v>0</v>
      </c>
      <c r="F235" s="135">
        <f t="shared" si="151"/>
        <v>0</v>
      </c>
      <c r="G235" s="135">
        <f t="shared" si="151"/>
        <v>0</v>
      </c>
      <c r="H235" s="135">
        <f t="shared" si="151"/>
        <v>0</v>
      </c>
      <c r="I235" s="135">
        <f t="shared" si="151"/>
        <v>0</v>
      </c>
      <c r="J235" s="135">
        <f t="shared" si="151"/>
        <v>0</v>
      </c>
      <c r="K235" s="135">
        <f t="shared" si="151"/>
        <v>0</v>
      </c>
      <c r="L235" s="135">
        <f t="shared" si="151"/>
        <v>0</v>
      </c>
      <c r="M235" s="135">
        <f t="shared" si="151"/>
        <v>0</v>
      </c>
      <c r="N235" s="135">
        <f t="shared" si="151"/>
        <v>0</v>
      </c>
      <c r="O235" s="135">
        <f t="shared" si="151"/>
        <v>0</v>
      </c>
      <c r="P235" s="135">
        <f t="shared" si="142"/>
        <v>0</v>
      </c>
      <c r="Q235" s="209">
        <f t="shared" si="140"/>
        <v>0</v>
      </c>
    </row>
    <row r="236" spans="3:17">
      <c r="C236" s="713" t="str">
        <f>CONCATENATE("Trans.Loss /",O13)</f>
        <v>Trans.Loss /wall 4</v>
      </c>
      <c r="D236" s="135">
        <f>IF(D$113=0,0,-D$106*$O$30*D$46/1000)</f>
        <v>0</v>
      </c>
      <c r="E236" s="135">
        <f t="shared" ref="E236:O236" si="152">IF(E$113=0,0,-E$106*$O$30*E$46/1000)</f>
        <v>0</v>
      </c>
      <c r="F236" s="135">
        <f t="shared" si="152"/>
        <v>0</v>
      </c>
      <c r="G236" s="135">
        <f t="shared" si="152"/>
        <v>0</v>
      </c>
      <c r="H236" s="135">
        <f t="shared" si="152"/>
        <v>0</v>
      </c>
      <c r="I236" s="135">
        <f t="shared" si="152"/>
        <v>0</v>
      </c>
      <c r="J236" s="135">
        <f t="shared" si="152"/>
        <v>0</v>
      </c>
      <c r="K236" s="135">
        <f t="shared" si="152"/>
        <v>0</v>
      </c>
      <c r="L236" s="135">
        <f t="shared" si="152"/>
        <v>0</v>
      </c>
      <c r="M236" s="135">
        <f t="shared" si="152"/>
        <v>0</v>
      </c>
      <c r="N236" s="135">
        <f t="shared" si="152"/>
        <v>0</v>
      </c>
      <c r="O236" s="135">
        <f t="shared" si="152"/>
        <v>0</v>
      </c>
      <c r="P236" s="135">
        <f t="shared" si="142"/>
        <v>0</v>
      </c>
      <c r="Q236" s="209">
        <f t="shared" si="140"/>
        <v>0</v>
      </c>
    </row>
    <row r="237" spans="3:17">
      <c r="C237" s="713" t="s">
        <v>929</v>
      </c>
      <c r="D237" s="135">
        <f>D150</f>
        <v>0</v>
      </c>
      <c r="E237" s="135">
        <f t="shared" ref="E237:O237" si="153">E150</f>
        <v>0</v>
      </c>
      <c r="F237" s="135">
        <f t="shared" si="153"/>
        <v>0</v>
      </c>
      <c r="G237" s="135">
        <f t="shared" si="153"/>
        <v>0</v>
      </c>
      <c r="H237" s="135">
        <f t="shared" si="153"/>
        <v>-943.83862155643749</v>
      </c>
      <c r="I237" s="135">
        <f t="shared" si="153"/>
        <v>-896.45249221035249</v>
      </c>
      <c r="J237" s="135">
        <f t="shared" si="153"/>
        <v>-1147.1140878487124</v>
      </c>
      <c r="K237" s="135">
        <f t="shared" si="153"/>
        <v>-1380.4978000766432</v>
      </c>
      <c r="L237" s="135">
        <f t="shared" si="153"/>
        <v>-1370.0346345769597</v>
      </c>
      <c r="M237" s="135">
        <f t="shared" si="153"/>
        <v>0</v>
      </c>
      <c r="N237" s="135">
        <f t="shared" si="153"/>
        <v>0</v>
      </c>
      <c r="O237" s="135">
        <f t="shared" si="153"/>
        <v>0</v>
      </c>
      <c r="P237" s="135">
        <f t="shared" si="142"/>
        <v>-5737.9376362691055</v>
      </c>
      <c r="Q237" s="209">
        <f t="shared" si="140"/>
        <v>-3.6258689644670494</v>
      </c>
    </row>
    <row r="238" spans="3:17">
      <c r="C238" s="712" t="s">
        <v>360</v>
      </c>
      <c r="D238" s="699">
        <f>SUM(D225:D236)</f>
        <v>0</v>
      </c>
      <c r="E238" s="699">
        <f t="shared" ref="E238:O238" si="154">SUM(E225:E236)</f>
        <v>0</v>
      </c>
      <c r="F238" s="699">
        <f t="shared" si="154"/>
        <v>0</v>
      </c>
      <c r="G238" s="699">
        <f t="shared" si="154"/>
        <v>0</v>
      </c>
      <c r="H238" s="699">
        <f t="shared" si="154"/>
        <v>-6589.8704630837847</v>
      </c>
      <c r="I238" s="699">
        <f t="shared" si="154"/>
        <v>-5743.7713637840852</v>
      </c>
      <c r="J238" s="699">
        <f t="shared" si="154"/>
        <v>-4618.8649725367313</v>
      </c>
      <c r="K238" s="699">
        <f t="shared" si="154"/>
        <v>-4285.710177695426</v>
      </c>
      <c r="L238" s="699">
        <f t="shared" si="154"/>
        <v>-4341.6007506850519</v>
      </c>
      <c r="M238" s="699">
        <f t="shared" si="154"/>
        <v>0</v>
      </c>
      <c r="N238" s="699">
        <f t="shared" si="154"/>
        <v>0</v>
      </c>
      <c r="O238" s="699">
        <f t="shared" si="154"/>
        <v>0</v>
      </c>
      <c r="P238" s="699">
        <f t="shared" si="142"/>
        <v>-25579.817727785077</v>
      </c>
      <c r="Q238" s="388">
        <f t="shared" si="140"/>
        <v>-16.164181818505579</v>
      </c>
    </row>
    <row r="239" spans="3:17">
      <c r="C239" s="711" t="s">
        <v>915</v>
      </c>
      <c r="D239" s="699">
        <f>D238-D149</f>
        <v>0</v>
      </c>
      <c r="E239" s="699">
        <f t="shared" ref="E239:O239" si="155">E238-E149</f>
        <v>0</v>
      </c>
      <c r="F239" s="699">
        <f t="shared" si="155"/>
        <v>0</v>
      </c>
      <c r="G239" s="699">
        <f t="shared" si="155"/>
        <v>0</v>
      </c>
      <c r="H239" s="699">
        <f t="shared" si="155"/>
        <v>0</v>
      </c>
      <c r="I239" s="699">
        <f t="shared" si="155"/>
        <v>0</v>
      </c>
      <c r="J239" s="699">
        <f t="shared" si="155"/>
        <v>0</v>
      </c>
      <c r="K239" s="699">
        <f t="shared" si="155"/>
        <v>0</v>
      </c>
      <c r="L239" s="699">
        <f t="shared" si="155"/>
        <v>0</v>
      </c>
      <c r="M239" s="699">
        <f t="shared" si="155"/>
        <v>0</v>
      </c>
      <c r="N239" s="699">
        <f t="shared" si="155"/>
        <v>0</v>
      </c>
      <c r="O239" s="699">
        <f t="shared" si="155"/>
        <v>0</v>
      </c>
      <c r="P239" s="699"/>
      <c r="Q239" s="388">
        <f t="shared" si="140"/>
        <v>0</v>
      </c>
    </row>
    <row r="240" spans="3:17">
      <c r="C240" s="713" t="s">
        <v>938</v>
      </c>
      <c r="D240" s="135">
        <f>IF(D$113=0,0,$D$30*D$45/1000)</f>
        <v>0</v>
      </c>
      <c r="E240" s="135">
        <f t="shared" ref="E240:N240" si="156">IF(E$113=0,0,$D$30*E$45/1000)</f>
        <v>0</v>
      </c>
      <c r="F240" s="135">
        <f t="shared" si="156"/>
        <v>0</v>
      </c>
      <c r="G240" s="135">
        <f t="shared" si="156"/>
        <v>0</v>
      </c>
      <c r="H240" s="135">
        <f t="shared" si="156"/>
        <v>0</v>
      </c>
      <c r="I240" s="135">
        <f t="shared" si="156"/>
        <v>4.2747900000000003</v>
      </c>
      <c r="J240" s="135">
        <f t="shared" si="156"/>
        <v>47.665800000000004</v>
      </c>
      <c r="K240" s="135">
        <f t="shared" si="156"/>
        <v>56.934150000000031</v>
      </c>
      <c r="L240" s="135">
        <f t="shared" si="156"/>
        <v>25.573080000000004</v>
      </c>
      <c r="M240" s="135">
        <f t="shared" si="156"/>
        <v>0</v>
      </c>
      <c r="N240" s="135">
        <f t="shared" si="156"/>
        <v>0</v>
      </c>
      <c r="O240" s="135">
        <f>IF(O$113=0,0,$D$30*O$45/1000)</f>
        <v>0</v>
      </c>
      <c r="P240" s="135">
        <f t="shared" si="142"/>
        <v>134.44782000000004</v>
      </c>
      <c r="Q240" s="209">
        <f t="shared" si="140"/>
        <v>8.4959127962085337E-2</v>
      </c>
    </row>
    <row r="241" spans="3:17">
      <c r="C241" s="713" t="s">
        <v>939</v>
      </c>
      <c r="D241" s="135">
        <f>IF(D$113=0,0,$E$30*D$45/1000)</f>
        <v>0</v>
      </c>
      <c r="E241" s="135">
        <f t="shared" ref="E241:O241" si="157">IF(E$113=0,0,$E$30*E$45/1000)</f>
        <v>0</v>
      </c>
      <c r="F241" s="135">
        <f t="shared" si="157"/>
        <v>0</v>
      </c>
      <c r="G241" s="135">
        <f t="shared" si="157"/>
        <v>0</v>
      </c>
      <c r="H241" s="135">
        <f t="shared" si="157"/>
        <v>0</v>
      </c>
      <c r="I241" s="135">
        <f t="shared" si="157"/>
        <v>0</v>
      </c>
      <c r="J241" s="135">
        <f t="shared" si="157"/>
        <v>0</v>
      </c>
      <c r="K241" s="135">
        <f t="shared" si="157"/>
        <v>0</v>
      </c>
      <c r="L241" s="135">
        <f t="shared" si="157"/>
        <v>0</v>
      </c>
      <c r="M241" s="135">
        <f t="shared" si="157"/>
        <v>0</v>
      </c>
      <c r="N241" s="135">
        <f t="shared" si="157"/>
        <v>0</v>
      </c>
      <c r="O241" s="135">
        <f t="shared" si="157"/>
        <v>0</v>
      </c>
      <c r="P241" s="135">
        <f t="shared" si="142"/>
        <v>0</v>
      </c>
      <c r="Q241" s="209">
        <f t="shared" si="140"/>
        <v>0</v>
      </c>
    </row>
    <row r="242" spans="3:17">
      <c r="C242" s="713" t="s">
        <v>940</v>
      </c>
      <c r="D242" s="135">
        <f>IF(D$113=0,0,$F$30*D$45/1000)</f>
        <v>0</v>
      </c>
      <c r="E242" s="135">
        <f t="shared" ref="E242:O242" si="158">IF(E$113=0,0,$F$30*E$45/1000)</f>
        <v>0</v>
      </c>
      <c r="F242" s="135">
        <f t="shared" si="158"/>
        <v>0</v>
      </c>
      <c r="G242" s="135">
        <f t="shared" si="158"/>
        <v>0</v>
      </c>
      <c r="H242" s="135">
        <f t="shared" si="158"/>
        <v>0</v>
      </c>
      <c r="I242" s="135">
        <f t="shared" si="158"/>
        <v>20.862738000000004</v>
      </c>
      <c r="J242" s="135">
        <f t="shared" si="158"/>
        <v>232.62876000000003</v>
      </c>
      <c r="K242" s="135">
        <f t="shared" si="158"/>
        <v>277.86213000000021</v>
      </c>
      <c r="L242" s="135">
        <f t="shared" si="158"/>
        <v>124.80717600000004</v>
      </c>
      <c r="M242" s="135">
        <f t="shared" si="158"/>
        <v>0</v>
      </c>
      <c r="N242" s="135">
        <f t="shared" si="158"/>
        <v>0</v>
      </c>
      <c r="O242" s="135">
        <f t="shared" si="158"/>
        <v>0</v>
      </c>
      <c r="P242" s="135">
        <f t="shared" si="142"/>
        <v>656.16080400000033</v>
      </c>
      <c r="Q242" s="209">
        <f t="shared" si="140"/>
        <v>0.41463557914691962</v>
      </c>
    </row>
    <row r="243" spans="3:17">
      <c r="C243" s="713" t="s">
        <v>941</v>
      </c>
      <c r="D243" s="135">
        <f>IF(D$113=0,0,$G$30*D$45/1000)</f>
        <v>0</v>
      </c>
      <c r="E243" s="135">
        <f t="shared" ref="E243:O243" si="159">IF(E$113=0,0,$G$30*E$45/1000)</f>
        <v>0</v>
      </c>
      <c r="F243" s="135">
        <f t="shared" si="159"/>
        <v>0</v>
      </c>
      <c r="G243" s="135">
        <f t="shared" si="159"/>
        <v>0</v>
      </c>
      <c r="H243" s="135">
        <f t="shared" si="159"/>
        <v>0</v>
      </c>
      <c r="I243" s="135">
        <f t="shared" si="159"/>
        <v>10.18017</v>
      </c>
      <c r="J243" s="135">
        <f t="shared" si="159"/>
        <v>113.51339999999999</v>
      </c>
      <c r="K243" s="135">
        <f t="shared" si="159"/>
        <v>135.58545000000007</v>
      </c>
      <c r="L243" s="135">
        <f t="shared" si="159"/>
        <v>60.900840000000002</v>
      </c>
      <c r="M243" s="135">
        <f t="shared" si="159"/>
        <v>0</v>
      </c>
      <c r="N243" s="135">
        <f t="shared" si="159"/>
        <v>0</v>
      </c>
      <c r="O243" s="135">
        <f t="shared" si="159"/>
        <v>0</v>
      </c>
      <c r="P243" s="135">
        <f t="shared" si="142"/>
        <v>320.17986000000008</v>
      </c>
      <c r="Q243" s="209">
        <f t="shared" si="140"/>
        <v>0.20232534597156404</v>
      </c>
    </row>
    <row r="244" spans="3:17">
      <c r="C244" s="713" t="s">
        <v>942</v>
      </c>
      <c r="D244" s="135">
        <f>IF(D$113=0,0,$H$30*D$45/1000)</f>
        <v>0</v>
      </c>
      <c r="E244" s="135">
        <f t="shared" ref="E244:O244" si="160">IF(E$113=0,0,$H$30*E$45/1000)</f>
        <v>0</v>
      </c>
      <c r="F244" s="135">
        <f t="shared" si="160"/>
        <v>0</v>
      </c>
      <c r="G244" s="135">
        <f t="shared" si="160"/>
        <v>0</v>
      </c>
      <c r="H244" s="135">
        <f t="shared" si="160"/>
        <v>0</v>
      </c>
      <c r="I244" s="135">
        <f t="shared" si="160"/>
        <v>20.862738000000004</v>
      </c>
      <c r="J244" s="135">
        <f t="shared" si="160"/>
        <v>232.62876000000003</v>
      </c>
      <c r="K244" s="135">
        <f t="shared" si="160"/>
        <v>277.86213000000021</v>
      </c>
      <c r="L244" s="135">
        <f t="shared" si="160"/>
        <v>124.80717600000004</v>
      </c>
      <c r="M244" s="135">
        <f t="shared" si="160"/>
        <v>0</v>
      </c>
      <c r="N244" s="135">
        <f t="shared" si="160"/>
        <v>0</v>
      </c>
      <c r="O244" s="135">
        <f t="shared" si="160"/>
        <v>0</v>
      </c>
      <c r="P244" s="135">
        <f t="shared" si="142"/>
        <v>656.16080400000033</v>
      </c>
      <c r="Q244" s="209">
        <f t="shared" si="140"/>
        <v>0.41463557914691962</v>
      </c>
    </row>
    <row r="245" spans="3:17">
      <c r="C245" s="713" t="s">
        <v>943</v>
      </c>
      <c r="D245" s="135">
        <f>IF(D$113=0,0,$I$30*D$45/1000)</f>
        <v>0</v>
      </c>
      <c r="E245" s="135">
        <f t="shared" ref="E245:O245" si="161">IF(E$113=0,0,$I$30*E$45/1000)</f>
        <v>0</v>
      </c>
      <c r="F245" s="135">
        <f t="shared" si="161"/>
        <v>0</v>
      </c>
      <c r="G245" s="135">
        <f t="shared" si="161"/>
        <v>0</v>
      </c>
      <c r="H245" s="135">
        <f t="shared" si="161"/>
        <v>0</v>
      </c>
      <c r="I245" s="135">
        <f t="shared" si="161"/>
        <v>0</v>
      </c>
      <c r="J245" s="135">
        <f t="shared" si="161"/>
        <v>0</v>
      </c>
      <c r="K245" s="135">
        <f t="shared" si="161"/>
        <v>0</v>
      </c>
      <c r="L245" s="135">
        <f t="shared" si="161"/>
        <v>0</v>
      </c>
      <c r="M245" s="135">
        <f t="shared" si="161"/>
        <v>0</v>
      </c>
      <c r="N245" s="135">
        <f t="shared" si="161"/>
        <v>0</v>
      </c>
      <c r="O245" s="135">
        <f t="shared" si="161"/>
        <v>0</v>
      </c>
      <c r="P245" s="135">
        <f t="shared" si="142"/>
        <v>0</v>
      </c>
      <c r="Q245" s="209">
        <f t="shared" si="140"/>
        <v>0</v>
      </c>
    </row>
    <row r="246" spans="3:17">
      <c r="C246" s="713" t="s">
        <v>944</v>
      </c>
      <c r="D246" s="135">
        <f>IF(D$113=0,0,$J$30*D$45/1000)</f>
        <v>0</v>
      </c>
      <c r="E246" s="135">
        <f t="shared" ref="E246:O246" si="162">IF(E$113=0,0,$J$30*E$45/1000)</f>
        <v>0</v>
      </c>
      <c r="F246" s="135">
        <f t="shared" si="162"/>
        <v>0</v>
      </c>
      <c r="G246" s="135">
        <f t="shared" si="162"/>
        <v>0</v>
      </c>
      <c r="H246" s="135">
        <f t="shared" si="162"/>
        <v>0</v>
      </c>
      <c r="I246" s="135">
        <f t="shared" si="162"/>
        <v>15.1646</v>
      </c>
      <c r="J246" s="135">
        <f t="shared" si="162"/>
        <v>169.09200000000001</v>
      </c>
      <c r="K246" s="135">
        <f t="shared" si="162"/>
        <v>201.97100000000012</v>
      </c>
      <c r="L246" s="135">
        <f t="shared" si="162"/>
        <v>90.719200000000015</v>
      </c>
      <c r="M246" s="135">
        <f t="shared" si="162"/>
        <v>0</v>
      </c>
      <c r="N246" s="135">
        <f t="shared" si="162"/>
        <v>0</v>
      </c>
      <c r="O246" s="135">
        <f t="shared" si="162"/>
        <v>0</v>
      </c>
      <c r="P246" s="135">
        <f t="shared" si="142"/>
        <v>476.94680000000017</v>
      </c>
      <c r="Q246" s="209">
        <f t="shared" si="140"/>
        <v>0.30138818325434452</v>
      </c>
    </row>
    <row r="247" spans="3:17">
      <c r="C247" s="713" t="s">
        <v>945</v>
      </c>
      <c r="D247" s="135">
        <f>IF(D$113=0,0,$K$30*D$45/1000)</f>
        <v>0</v>
      </c>
      <c r="E247" s="135">
        <f t="shared" ref="E247:O247" si="163">IF(E$113=0,0,$K$30*E$45/1000)</f>
        <v>0</v>
      </c>
      <c r="F247" s="135">
        <f t="shared" si="163"/>
        <v>0</v>
      </c>
      <c r="G247" s="135">
        <f t="shared" si="163"/>
        <v>0</v>
      </c>
      <c r="H247" s="135">
        <f t="shared" si="163"/>
        <v>0</v>
      </c>
      <c r="I247" s="135">
        <f t="shared" si="163"/>
        <v>0</v>
      </c>
      <c r="J247" s="135">
        <f t="shared" si="163"/>
        <v>0</v>
      </c>
      <c r="K247" s="135">
        <f t="shared" si="163"/>
        <v>0</v>
      </c>
      <c r="L247" s="135">
        <f t="shared" si="163"/>
        <v>0</v>
      </c>
      <c r="M247" s="135">
        <f t="shared" si="163"/>
        <v>0</v>
      </c>
      <c r="N247" s="135">
        <f t="shared" si="163"/>
        <v>0</v>
      </c>
      <c r="O247" s="135">
        <f t="shared" si="163"/>
        <v>0</v>
      </c>
      <c r="P247" s="135">
        <f t="shared" si="142"/>
        <v>0</v>
      </c>
      <c r="Q247" s="209">
        <f t="shared" si="140"/>
        <v>0</v>
      </c>
    </row>
    <row r="248" spans="3:17">
      <c r="C248" s="713" t="str">
        <f>CONCATENATE("Trans.Gains /",L13)</f>
        <v>Trans.Gains /wall 1</v>
      </c>
      <c r="D248" s="135">
        <f>IF(D$113=0,0,$L$30*D$45/1000)</f>
        <v>0</v>
      </c>
      <c r="E248" s="135">
        <f t="shared" ref="E248:O248" si="164">IF(E$113=0,0,$L$30*E$45/1000)</f>
        <v>0</v>
      </c>
      <c r="F248" s="135">
        <f t="shared" si="164"/>
        <v>0</v>
      </c>
      <c r="G248" s="135">
        <f t="shared" si="164"/>
        <v>0</v>
      </c>
      <c r="H248" s="135">
        <f t="shared" si="164"/>
        <v>0</v>
      </c>
      <c r="I248" s="135">
        <f t="shared" si="164"/>
        <v>3.032016</v>
      </c>
      <c r="J248" s="135">
        <f t="shared" si="164"/>
        <v>33.808320000000002</v>
      </c>
      <c r="K248" s="135">
        <f t="shared" si="164"/>
        <v>40.382160000000027</v>
      </c>
      <c r="L248" s="135">
        <f t="shared" si="164"/>
        <v>18.138432000000002</v>
      </c>
      <c r="M248" s="135">
        <f t="shared" si="164"/>
        <v>0</v>
      </c>
      <c r="N248" s="135">
        <f t="shared" si="164"/>
        <v>0</v>
      </c>
      <c r="O248" s="135">
        <f t="shared" si="164"/>
        <v>0</v>
      </c>
      <c r="P248" s="135">
        <f t="shared" si="142"/>
        <v>95.36092800000003</v>
      </c>
      <c r="Q248" s="209">
        <f t="shared" si="140"/>
        <v>6.0259670142180116E-2</v>
      </c>
    </row>
    <row r="249" spans="3:17">
      <c r="C249" s="713" t="str">
        <f>CONCATENATE("Trans.Gains /",M13)</f>
        <v>Trans.Gains /wall 2</v>
      </c>
      <c r="D249" s="135">
        <f>IF(D$113=0,0,$M$30*D$45/1000)</f>
        <v>0</v>
      </c>
      <c r="E249" s="135">
        <f t="shared" ref="E249:O249" si="165">IF(E$113=0,0,$M$30*E$45/1000)</f>
        <v>0</v>
      </c>
      <c r="F249" s="135">
        <f t="shared" si="165"/>
        <v>0</v>
      </c>
      <c r="G249" s="135">
        <f t="shared" si="165"/>
        <v>0</v>
      </c>
      <c r="H249" s="135">
        <f t="shared" si="165"/>
        <v>0</v>
      </c>
      <c r="I249" s="135">
        <f t="shared" si="165"/>
        <v>0</v>
      </c>
      <c r="J249" s="135">
        <f t="shared" si="165"/>
        <v>0</v>
      </c>
      <c r="K249" s="135">
        <f t="shared" si="165"/>
        <v>0</v>
      </c>
      <c r="L249" s="135">
        <f t="shared" si="165"/>
        <v>0</v>
      </c>
      <c r="M249" s="135">
        <f t="shared" si="165"/>
        <v>0</v>
      </c>
      <c r="N249" s="135">
        <f t="shared" si="165"/>
        <v>0</v>
      </c>
      <c r="O249" s="135">
        <f t="shared" si="165"/>
        <v>0</v>
      </c>
      <c r="P249" s="135">
        <f t="shared" si="142"/>
        <v>0</v>
      </c>
      <c r="Q249" s="209">
        <f t="shared" si="140"/>
        <v>0</v>
      </c>
    </row>
    <row r="250" spans="3:17">
      <c r="C250" s="713" t="str">
        <f>CONCATENATE("Trans.Gains /",N13)</f>
        <v>Trans.Gains /wall 3</v>
      </c>
      <c r="D250" s="135">
        <f>IF(D$113=0,0,$N$30*D$45/1000)</f>
        <v>0</v>
      </c>
      <c r="E250" s="135">
        <f t="shared" ref="E250:O250" si="166">IF(E$113=0,0,$N$30*E$45/1000)</f>
        <v>0</v>
      </c>
      <c r="F250" s="135">
        <f t="shared" si="166"/>
        <v>0</v>
      </c>
      <c r="G250" s="135">
        <f t="shared" si="166"/>
        <v>0</v>
      </c>
      <c r="H250" s="135">
        <f t="shared" si="166"/>
        <v>0</v>
      </c>
      <c r="I250" s="135">
        <f t="shared" si="166"/>
        <v>0</v>
      </c>
      <c r="J250" s="135">
        <f t="shared" si="166"/>
        <v>0</v>
      </c>
      <c r="K250" s="135">
        <f t="shared" si="166"/>
        <v>0</v>
      </c>
      <c r="L250" s="135">
        <f t="shared" si="166"/>
        <v>0</v>
      </c>
      <c r="M250" s="135">
        <f t="shared" si="166"/>
        <v>0</v>
      </c>
      <c r="N250" s="135">
        <f t="shared" si="166"/>
        <v>0</v>
      </c>
      <c r="O250" s="135">
        <f t="shared" si="166"/>
        <v>0</v>
      </c>
      <c r="P250" s="135">
        <f t="shared" si="142"/>
        <v>0</v>
      </c>
      <c r="Q250" s="209">
        <f t="shared" si="140"/>
        <v>0</v>
      </c>
    </row>
    <row r="251" spans="3:17">
      <c r="C251" s="713" t="str">
        <f>CONCATENATE("Trans.Gains /",O13)</f>
        <v>Trans.Gains /wall 4</v>
      </c>
      <c r="D251" s="135">
        <f>IF(D$113=0,0,$O$30*D$45/1000)</f>
        <v>0</v>
      </c>
      <c r="E251" s="135">
        <f t="shared" ref="E251:O251" si="167">IF(E$113=0,0,$O$30*E$45/1000)</f>
        <v>0</v>
      </c>
      <c r="F251" s="135">
        <f t="shared" si="167"/>
        <v>0</v>
      </c>
      <c r="G251" s="135">
        <f t="shared" si="167"/>
        <v>0</v>
      </c>
      <c r="H251" s="135">
        <f t="shared" si="167"/>
        <v>0</v>
      </c>
      <c r="I251" s="135">
        <f t="shared" si="167"/>
        <v>0</v>
      </c>
      <c r="J251" s="135">
        <f t="shared" si="167"/>
        <v>0</v>
      </c>
      <c r="K251" s="135">
        <f t="shared" si="167"/>
        <v>0</v>
      </c>
      <c r="L251" s="135">
        <f t="shared" si="167"/>
        <v>0</v>
      </c>
      <c r="M251" s="135">
        <f t="shared" si="167"/>
        <v>0</v>
      </c>
      <c r="N251" s="135">
        <f t="shared" si="167"/>
        <v>0</v>
      </c>
      <c r="O251" s="135">
        <f t="shared" si="167"/>
        <v>0</v>
      </c>
      <c r="P251" s="135">
        <f t="shared" si="142"/>
        <v>0</v>
      </c>
      <c r="Q251" s="209">
        <f t="shared" si="140"/>
        <v>0</v>
      </c>
    </row>
    <row r="252" spans="3:17">
      <c r="C252" s="713" t="s">
        <v>916</v>
      </c>
      <c r="D252" s="710">
        <f>D157</f>
        <v>0</v>
      </c>
      <c r="E252" s="135">
        <f t="shared" ref="E252:O252" si="168">E157</f>
        <v>0</v>
      </c>
      <c r="F252" s="135">
        <f t="shared" si="168"/>
        <v>0</v>
      </c>
      <c r="G252" s="135">
        <f t="shared" si="168"/>
        <v>0</v>
      </c>
      <c r="H252" s="135">
        <f t="shared" si="168"/>
        <v>0</v>
      </c>
      <c r="I252" s="135">
        <f t="shared" si="168"/>
        <v>0</v>
      </c>
      <c r="J252" s="135">
        <f t="shared" si="168"/>
        <v>0</v>
      </c>
      <c r="K252" s="135">
        <f t="shared" si="168"/>
        <v>0</v>
      </c>
      <c r="L252" s="135">
        <f t="shared" si="168"/>
        <v>0</v>
      </c>
      <c r="M252" s="135">
        <f t="shared" si="168"/>
        <v>0</v>
      </c>
      <c r="N252" s="135">
        <f t="shared" si="168"/>
        <v>0</v>
      </c>
      <c r="O252" s="135">
        <f t="shared" si="168"/>
        <v>0</v>
      </c>
      <c r="P252" s="135">
        <f t="shared" si="142"/>
        <v>0</v>
      </c>
      <c r="Q252" s="209">
        <f t="shared" si="140"/>
        <v>0</v>
      </c>
    </row>
    <row r="253" spans="3:17">
      <c r="C253" s="712" t="s">
        <v>360</v>
      </c>
      <c r="D253" s="699">
        <f>SUM(D240:D251)</f>
        <v>0</v>
      </c>
      <c r="E253" s="699">
        <f t="shared" ref="E253:O253" si="169">SUM(E240:E251)</f>
        <v>0</v>
      </c>
      <c r="F253" s="699">
        <f t="shared" si="169"/>
        <v>0</v>
      </c>
      <c r="G253" s="699">
        <f t="shared" si="169"/>
        <v>0</v>
      </c>
      <c r="H253" s="699">
        <f t="shared" si="169"/>
        <v>0</v>
      </c>
      <c r="I253" s="699">
        <f t="shared" si="169"/>
        <v>74.37705200000002</v>
      </c>
      <c r="J253" s="699">
        <f t="shared" si="169"/>
        <v>829.33704</v>
      </c>
      <c r="K253" s="699">
        <f t="shared" si="169"/>
        <v>990.59702000000061</v>
      </c>
      <c r="L253" s="699">
        <f t="shared" si="169"/>
        <v>444.9459040000001</v>
      </c>
      <c r="M253" s="699">
        <f t="shared" si="169"/>
        <v>0</v>
      </c>
      <c r="N253" s="699">
        <f t="shared" si="169"/>
        <v>0</v>
      </c>
      <c r="O253" s="699">
        <f t="shared" si="169"/>
        <v>0</v>
      </c>
      <c r="P253" s="699">
        <f t="shared" si="142"/>
        <v>2339.2570160000009</v>
      </c>
      <c r="Q253" s="388">
        <f t="shared" si="140"/>
        <v>1.4782034856240132</v>
      </c>
    </row>
    <row r="254" spans="3:17">
      <c r="C254" s="472" t="s">
        <v>915</v>
      </c>
      <c r="D254" s="699">
        <f>D253-D156</f>
        <v>0</v>
      </c>
      <c r="E254" s="699">
        <f t="shared" ref="E254:O254" si="170">E253-E156</f>
        <v>0</v>
      </c>
      <c r="F254" s="699">
        <f t="shared" si="170"/>
        <v>0</v>
      </c>
      <c r="G254" s="699">
        <f t="shared" si="170"/>
        <v>0</v>
      </c>
      <c r="H254" s="699">
        <f t="shared" si="170"/>
        <v>0</v>
      </c>
      <c r="I254" s="699">
        <f t="shared" si="170"/>
        <v>0</v>
      </c>
      <c r="J254" s="699">
        <f t="shared" si="170"/>
        <v>0</v>
      </c>
      <c r="K254" s="699">
        <f t="shared" si="170"/>
        <v>0</v>
      </c>
      <c r="L254" s="699">
        <f t="shared" si="170"/>
        <v>0</v>
      </c>
      <c r="M254" s="699">
        <f t="shared" si="170"/>
        <v>0</v>
      </c>
      <c r="N254" s="699">
        <f t="shared" si="170"/>
        <v>0</v>
      </c>
      <c r="O254" s="699">
        <f t="shared" si="170"/>
        <v>0</v>
      </c>
      <c r="P254" s="699"/>
      <c r="Q254" s="388"/>
    </row>
    <row r="255" spans="3:17" ht="15" thickBot="1"/>
    <row r="256" spans="3:17" ht="15">
      <c r="C256" s="709" t="s">
        <v>957</v>
      </c>
      <c r="D256" s="697" t="s">
        <v>832</v>
      </c>
      <c r="E256" s="698" t="s">
        <v>842</v>
      </c>
      <c r="F256" s="698" t="s">
        <v>833</v>
      </c>
      <c r="G256" s="698" t="s">
        <v>834</v>
      </c>
      <c r="H256" s="698" t="s">
        <v>835</v>
      </c>
      <c r="I256" s="698" t="s">
        <v>836</v>
      </c>
      <c r="J256" s="698" t="s">
        <v>837</v>
      </c>
      <c r="K256" s="698" t="s">
        <v>838</v>
      </c>
      <c r="L256" s="698" t="s">
        <v>839</v>
      </c>
      <c r="M256" s="698" t="s">
        <v>840</v>
      </c>
      <c r="N256" s="698" t="s">
        <v>841</v>
      </c>
      <c r="O256" s="702" t="s">
        <v>843</v>
      </c>
      <c r="P256" s="706" t="s">
        <v>33</v>
      </c>
      <c r="Q256" s="707" t="s">
        <v>917</v>
      </c>
    </row>
    <row r="257" spans="3:17">
      <c r="C257" s="695" t="s">
        <v>930</v>
      </c>
      <c r="D257" s="135">
        <f>IF(D$112=0,0,$D$29*D$43/1000)</f>
        <v>51.393793500000051</v>
      </c>
      <c r="E257" s="135">
        <f t="shared" ref="E257:O257" si="171">IF(E$112=0,0,$D$29*E$43/1000)</f>
        <v>43.029755999999992</v>
      </c>
      <c r="F257" s="135">
        <f t="shared" si="171"/>
        <v>40.109453999999964</v>
      </c>
      <c r="G257" s="135">
        <f t="shared" si="171"/>
        <v>30.344186250000039</v>
      </c>
      <c r="H257" s="135">
        <f t="shared" si="171"/>
        <v>17.333536499999987</v>
      </c>
      <c r="I257" s="135">
        <f t="shared" si="171"/>
        <v>0</v>
      </c>
      <c r="J257" s="135">
        <f t="shared" si="171"/>
        <v>0</v>
      </c>
      <c r="K257" s="135">
        <f t="shared" si="171"/>
        <v>0</v>
      </c>
      <c r="L257" s="135">
        <f t="shared" si="171"/>
        <v>0</v>
      </c>
      <c r="M257" s="135">
        <f t="shared" si="171"/>
        <v>13.230078750000001</v>
      </c>
      <c r="N257" s="135">
        <f t="shared" si="171"/>
        <v>31.927596749999996</v>
      </c>
      <c r="O257" s="135">
        <f t="shared" si="171"/>
        <v>47.240219249999988</v>
      </c>
      <c r="P257" s="135">
        <f>SUM(D257:O257)</f>
        <v>274.60862099999997</v>
      </c>
      <c r="Q257" s="209">
        <f>P257/$D$3</f>
        <v>0.17352835450236964</v>
      </c>
    </row>
    <row r="258" spans="3:17">
      <c r="C258" s="695" t="s">
        <v>931</v>
      </c>
      <c r="D258" s="135">
        <f>IF(D$112=0,0,$E$29*D$43/1000)</f>
        <v>0</v>
      </c>
      <c r="E258" s="135">
        <f t="shared" ref="E258:O258" si="172">IF(E$112=0,0,$E$29*E$43/1000)</f>
        <v>0</v>
      </c>
      <c r="F258" s="135">
        <f t="shared" si="172"/>
        <v>0</v>
      </c>
      <c r="G258" s="135">
        <f t="shared" si="172"/>
        <v>0</v>
      </c>
      <c r="H258" s="135">
        <f t="shared" si="172"/>
        <v>0</v>
      </c>
      <c r="I258" s="135">
        <f t="shared" si="172"/>
        <v>0</v>
      </c>
      <c r="J258" s="135">
        <f t="shared" si="172"/>
        <v>0</v>
      </c>
      <c r="K258" s="135">
        <f t="shared" si="172"/>
        <v>0</v>
      </c>
      <c r="L258" s="135">
        <f t="shared" si="172"/>
        <v>0</v>
      </c>
      <c r="M258" s="135">
        <f t="shared" si="172"/>
        <v>0</v>
      </c>
      <c r="N258" s="135">
        <f t="shared" si="172"/>
        <v>0</v>
      </c>
      <c r="O258" s="135">
        <f t="shared" si="172"/>
        <v>0</v>
      </c>
      <c r="P258" s="135">
        <f t="shared" ref="P258:P268" si="173">SUM(D258:O258)</f>
        <v>0</v>
      </c>
      <c r="Q258" s="209">
        <f t="shared" ref="Q258:Q268" si="174">P258/$D$3</f>
        <v>0</v>
      </c>
    </row>
    <row r="259" spans="3:17">
      <c r="C259" s="695" t="s">
        <v>932</v>
      </c>
      <c r="D259" s="135">
        <f>IF(D$112=0,0,$F$29*D$43/1000)</f>
        <v>901.10451270000101</v>
      </c>
      <c r="E259" s="135">
        <f t="shared" ref="E259:O259" si="175">IF(E$112=0,0,$F$29*E$43/1000)</f>
        <v>754.45505519999995</v>
      </c>
      <c r="F259" s="135">
        <f t="shared" si="175"/>
        <v>703.2524267999994</v>
      </c>
      <c r="G259" s="135">
        <f t="shared" si="175"/>
        <v>532.03473225000084</v>
      </c>
      <c r="H259" s="135">
        <f t="shared" si="175"/>
        <v>303.91467329999978</v>
      </c>
      <c r="I259" s="135">
        <f t="shared" si="175"/>
        <v>0</v>
      </c>
      <c r="J259" s="135">
        <f t="shared" si="175"/>
        <v>0</v>
      </c>
      <c r="K259" s="135">
        <f t="shared" si="175"/>
        <v>0</v>
      </c>
      <c r="L259" s="135">
        <f t="shared" si="175"/>
        <v>0</v>
      </c>
      <c r="M259" s="135">
        <f t="shared" si="175"/>
        <v>231.96738075000005</v>
      </c>
      <c r="N259" s="135">
        <f t="shared" si="175"/>
        <v>559.79719635000004</v>
      </c>
      <c r="O259" s="135">
        <f t="shared" si="175"/>
        <v>828.27851084999998</v>
      </c>
      <c r="P259" s="135">
        <f t="shared" si="173"/>
        <v>4814.8044882000013</v>
      </c>
      <c r="Q259" s="209">
        <f t="shared" si="174"/>
        <v>3.0425304822748824</v>
      </c>
    </row>
    <row r="260" spans="3:17">
      <c r="C260" s="695" t="s">
        <v>933</v>
      </c>
      <c r="D260" s="135">
        <f>IF(D$112=0,0,$G$29*D$43/1000)</f>
        <v>1319.1073665000015</v>
      </c>
      <c r="E260" s="135">
        <f t="shared" ref="E260:O260" si="176">IF(E$112=0,0,$G$29*E$43/1000)</f>
        <v>1104.430404</v>
      </c>
      <c r="F260" s="135">
        <f t="shared" si="176"/>
        <v>1029.475985999999</v>
      </c>
      <c r="G260" s="135">
        <f t="shared" si="176"/>
        <v>778.83411375000105</v>
      </c>
      <c r="H260" s="135">
        <f t="shared" si="176"/>
        <v>444.89410349999969</v>
      </c>
      <c r="I260" s="135">
        <f t="shared" si="176"/>
        <v>0</v>
      </c>
      <c r="J260" s="135">
        <f t="shared" si="176"/>
        <v>0</v>
      </c>
      <c r="K260" s="135">
        <f t="shared" si="176"/>
        <v>0</v>
      </c>
      <c r="L260" s="135">
        <f t="shared" si="176"/>
        <v>0</v>
      </c>
      <c r="M260" s="135">
        <f t="shared" si="176"/>
        <v>339.57202124999998</v>
      </c>
      <c r="N260" s="135">
        <f t="shared" si="176"/>
        <v>819.47498324999992</v>
      </c>
      <c r="O260" s="135">
        <f t="shared" si="176"/>
        <v>1212.4989607499999</v>
      </c>
      <c r="P260" s="135">
        <f t="shared" si="173"/>
        <v>7048.2879390000016</v>
      </c>
      <c r="Q260" s="209">
        <f t="shared" si="174"/>
        <v>4.4538944322274894</v>
      </c>
    </row>
    <row r="261" spans="3:17">
      <c r="C261" s="695" t="s">
        <v>934</v>
      </c>
      <c r="D261" s="135">
        <f>IF(D$112=0,0,$H$29*D$43/1000)</f>
        <v>901.10451270000101</v>
      </c>
      <c r="E261" s="135">
        <f t="shared" ref="E261:O261" si="177">IF(E$112=0,0,$H$29*E$43/1000)</f>
        <v>754.45505519999995</v>
      </c>
      <c r="F261" s="135">
        <f t="shared" si="177"/>
        <v>703.2524267999994</v>
      </c>
      <c r="G261" s="135">
        <f t="shared" si="177"/>
        <v>532.03473225000084</v>
      </c>
      <c r="H261" s="135">
        <f t="shared" si="177"/>
        <v>303.91467329999978</v>
      </c>
      <c r="I261" s="135">
        <f t="shared" si="177"/>
        <v>0</v>
      </c>
      <c r="J261" s="135">
        <f t="shared" si="177"/>
        <v>0</v>
      </c>
      <c r="K261" s="135">
        <f t="shared" si="177"/>
        <v>0</v>
      </c>
      <c r="L261" s="135">
        <f t="shared" si="177"/>
        <v>0</v>
      </c>
      <c r="M261" s="135">
        <f t="shared" si="177"/>
        <v>231.96738075000005</v>
      </c>
      <c r="N261" s="135">
        <f t="shared" si="177"/>
        <v>559.79719635000004</v>
      </c>
      <c r="O261" s="135">
        <f t="shared" si="177"/>
        <v>828.27851084999998</v>
      </c>
      <c r="P261" s="135">
        <f t="shared" si="173"/>
        <v>4814.8044882000013</v>
      </c>
      <c r="Q261" s="209">
        <f t="shared" si="174"/>
        <v>3.0425304822748824</v>
      </c>
    </row>
    <row r="262" spans="3:17">
      <c r="C262" s="695" t="s">
        <v>935</v>
      </c>
      <c r="D262" s="135">
        <f>IF(D$112=0,0,$I$29*D$43/1000)</f>
        <v>0</v>
      </c>
      <c r="E262" s="135">
        <f t="shared" ref="E262:O262" si="178">IF(E$112=0,0,$I$29*E$43/1000)</f>
        <v>0</v>
      </c>
      <c r="F262" s="135">
        <f t="shared" si="178"/>
        <v>0</v>
      </c>
      <c r="G262" s="135">
        <f t="shared" si="178"/>
        <v>0</v>
      </c>
      <c r="H262" s="135">
        <f t="shared" si="178"/>
        <v>0</v>
      </c>
      <c r="I262" s="135">
        <f t="shared" si="178"/>
        <v>0</v>
      </c>
      <c r="J262" s="135">
        <f t="shared" si="178"/>
        <v>0</v>
      </c>
      <c r="K262" s="135">
        <f t="shared" si="178"/>
        <v>0</v>
      </c>
      <c r="L262" s="135">
        <f t="shared" si="178"/>
        <v>0</v>
      </c>
      <c r="M262" s="135">
        <f t="shared" si="178"/>
        <v>0</v>
      </c>
      <c r="N262" s="135">
        <f t="shared" si="178"/>
        <v>0</v>
      </c>
      <c r="O262" s="135">
        <f t="shared" si="178"/>
        <v>0</v>
      </c>
      <c r="P262" s="135">
        <f t="shared" si="173"/>
        <v>0</v>
      </c>
      <c r="Q262" s="209">
        <f t="shared" si="174"/>
        <v>0</v>
      </c>
    </row>
    <row r="263" spans="3:17">
      <c r="C263" s="695" t="s">
        <v>936</v>
      </c>
      <c r="D263" s="135">
        <f>IF(D$112=0,0,$J$29*D$43/1000)</f>
        <v>0</v>
      </c>
      <c r="E263" s="135">
        <f t="shared" ref="E263:O263" si="179">IF(E$112=0,0,$J$29*E$43/1000)</f>
        <v>0</v>
      </c>
      <c r="F263" s="135">
        <f t="shared" si="179"/>
        <v>0</v>
      </c>
      <c r="G263" s="135">
        <f t="shared" si="179"/>
        <v>0</v>
      </c>
      <c r="H263" s="135">
        <f t="shared" si="179"/>
        <v>0</v>
      </c>
      <c r="I263" s="135">
        <f t="shared" si="179"/>
        <v>0</v>
      </c>
      <c r="J263" s="135">
        <f t="shared" si="179"/>
        <v>0</v>
      </c>
      <c r="K263" s="135">
        <f t="shared" si="179"/>
        <v>0</v>
      </c>
      <c r="L263" s="135">
        <f t="shared" si="179"/>
        <v>0</v>
      </c>
      <c r="M263" s="135">
        <f t="shared" si="179"/>
        <v>0</v>
      </c>
      <c r="N263" s="135">
        <f t="shared" si="179"/>
        <v>0</v>
      </c>
      <c r="O263" s="135">
        <f t="shared" si="179"/>
        <v>0</v>
      </c>
      <c r="P263" s="135">
        <f t="shared" si="173"/>
        <v>0</v>
      </c>
      <c r="Q263" s="209">
        <f t="shared" si="174"/>
        <v>0</v>
      </c>
    </row>
    <row r="264" spans="3:17">
      <c r="C264" s="695" t="s">
        <v>937</v>
      </c>
      <c r="D264" s="135">
        <f>IF(D$112=0,0,$K$29*D$43/1000)</f>
        <v>0</v>
      </c>
      <c r="E264" s="135">
        <f t="shared" ref="E264:O264" si="180">IF(E$112=0,0,$K$29*E$43/1000)</f>
        <v>0</v>
      </c>
      <c r="F264" s="135">
        <f t="shared" si="180"/>
        <v>0</v>
      </c>
      <c r="G264" s="135">
        <f t="shared" si="180"/>
        <v>0</v>
      </c>
      <c r="H264" s="135">
        <f t="shared" si="180"/>
        <v>0</v>
      </c>
      <c r="I264" s="135">
        <f t="shared" si="180"/>
        <v>0</v>
      </c>
      <c r="J264" s="135">
        <f t="shared" si="180"/>
        <v>0</v>
      </c>
      <c r="K264" s="135">
        <f t="shared" si="180"/>
        <v>0</v>
      </c>
      <c r="L264" s="135">
        <f t="shared" si="180"/>
        <v>0</v>
      </c>
      <c r="M264" s="135">
        <f t="shared" si="180"/>
        <v>0</v>
      </c>
      <c r="N264" s="135">
        <f t="shared" si="180"/>
        <v>0</v>
      </c>
      <c r="O264" s="135">
        <f t="shared" si="180"/>
        <v>0</v>
      </c>
      <c r="P264" s="135">
        <f t="shared" si="173"/>
        <v>0</v>
      </c>
      <c r="Q264" s="209">
        <f t="shared" si="174"/>
        <v>0</v>
      </c>
    </row>
    <row r="265" spans="3:17">
      <c r="C265" s="695" t="str">
        <f>CONCATENATE("Trans.Loss windows ",L13)</f>
        <v>Trans.Loss windows wall 1</v>
      </c>
      <c r="D265" s="135">
        <f>IF(D$112=0,0,$L$29*D$43/1000)</f>
        <v>0</v>
      </c>
      <c r="E265" s="135">
        <f t="shared" ref="E265:O265" si="181">IF(E$112=0,0,$L$29*E$43/1000)</f>
        <v>0</v>
      </c>
      <c r="F265" s="135">
        <f t="shared" si="181"/>
        <v>0</v>
      </c>
      <c r="G265" s="135">
        <f t="shared" si="181"/>
        <v>0</v>
      </c>
      <c r="H265" s="135">
        <f t="shared" si="181"/>
        <v>0</v>
      </c>
      <c r="I265" s="135">
        <f t="shared" si="181"/>
        <v>0</v>
      </c>
      <c r="J265" s="135">
        <f t="shared" si="181"/>
        <v>0</v>
      </c>
      <c r="K265" s="135">
        <f t="shared" si="181"/>
        <v>0</v>
      </c>
      <c r="L265" s="135">
        <f t="shared" si="181"/>
        <v>0</v>
      </c>
      <c r="M265" s="135">
        <f t="shared" si="181"/>
        <v>0</v>
      </c>
      <c r="N265" s="135">
        <f t="shared" si="181"/>
        <v>0</v>
      </c>
      <c r="O265" s="135">
        <f t="shared" si="181"/>
        <v>0</v>
      </c>
      <c r="P265" s="135">
        <f t="shared" si="173"/>
        <v>0</v>
      </c>
      <c r="Q265" s="209">
        <f t="shared" si="174"/>
        <v>0</v>
      </c>
    </row>
    <row r="266" spans="3:17">
      <c r="C266" s="695" t="str">
        <f>CONCATENATE("Trans.Loss windows ",M13)</f>
        <v>Trans.Loss windows wall 2</v>
      </c>
      <c r="D266" s="135">
        <f>IF(D$112=0,0,$M$29*D$43/1000)</f>
        <v>0</v>
      </c>
      <c r="E266" s="135">
        <f t="shared" ref="E266:O266" si="182">IF(E$112=0,0,$M$29*E$43/1000)</f>
        <v>0</v>
      </c>
      <c r="F266" s="135">
        <f t="shared" si="182"/>
        <v>0</v>
      </c>
      <c r="G266" s="135">
        <f t="shared" si="182"/>
        <v>0</v>
      </c>
      <c r="H266" s="135">
        <f t="shared" si="182"/>
        <v>0</v>
      </c>
      <c r="I266" s="135">
        <f t="shared" si="182"/>
        <v>0</v>
      </c>
      <c r="J266" s="135">
        <f t="shared" si="182"/>
        <v>0</v>
      </c>
      <c r="K266" s="135">
        <f t="shared" si="182"/>
        <v>0</v>
      </c>
      <c r="L266" s="135">
        <f t="shared" si="182"/>
        <v>0</v>
      </c>
      <c r="M266" s="135">
        <f t="shared" si="182"/>
        <v>0</v>
      </c>
      <c r="N266" s="135">
        <f t="shared" si="182"/>
        <v>0</v>
      </c>
      <c r="O266" s="135">
        <f t="shared" si="182"/>
        <v>0</v>
      </c>
      <c r="P266" s="135">
        <f t="shared" si="173"/>
        <v>0</v>
      </c>
      <c r="Q266" s="209">
        <f t="shared" si="174"/>
        <v>0</v>
      </c>
    </row>
    <row r="267" spans="3:17">
      <c r="C267" s="695" t="str">
        <f>CONCATENATE("Trans.Loss windows ",N13)</f>
        <v>Trans.Loss windows wall 3</v>
      </c>
      <c r="D267" s="135">
        <f>IF(D$112=0,0,$N$29*D$43/1000)</f>
        <v>0</v>
      </c>
      <c r="E267" s="135">
        <f t="shared" ref="E267:O267" si="183">IF(E$112=0,0,$N$29*E$43/1000)</f>
        <v>0</v>
      </c>
      <c r="F267" s="135">
        <f t="shared" si="183"/>
        <v>0</v>
      </c>
      <c r="G267" s="135">
        <f t="shared" si="183"/>
        <v>0</v>
      </c>
      <c r="H267" s="135">
        <f t="shared" si="183"/>
        <v>0</v>
      </c>
      <c r="I267" s="135">
        <f t="shared" si="183"/>
        <v>0</v>
      </c>
      <c r="J267" s="135">
        <f t="shared" si="183"/>
        <v>0</v>
      </c>
      <c r="K267" s="135">
        <f t="shared" si="183"/>
        <v>0</v>
      </c>
      <c r="L267" s="135">
        <f t="shared" si="183"/>
        <v>0</v>
      </c>
      <c r="M267" s="135">
        <f t="shared" si="183"/>
        <v>0</v>
      </c>
      <c r="N267" s="135">
        <f t="shared" si="183"/>
        <v>0</v>
      </c>
      <c r="O267" s="135">
        <f t="shared" si="183"/>
        <v>0</v>
      </c>
      <c r="P267" s="135">
        <f t="shared" si="173"/>
        <v>0</v>
      </c>
      <c r="Q267" s="209">
        <f t="shared" si="174"/>
        <v>0</v>
      </c>
    </row>
    <row r="268" spans="3:17">
      <c r="C268" s="695" t="str">
        <f>CONCATENATE("Trans.Loss windows ",O13)</f>
        <v>Trans.Loss windows wall 4</v>
      </c>
      <c r="D268" s="135">
        <f>IF(D$112=0,0,$O$29*D$43/1000)</f>
        <v>0</v>
      </c>
      <c r="E268" s="135">
        <f t="shared" ref="E268:O268" si="184">IF(E$112=0,0,$O$29*E$43/1000)</f>
        <v>0</v>
      </c>
      <c r="F268" s="135">
        <f t="shared" si="184"/>
        <v>0</v>
      </c>
      <c r="G268" s="135">
        <f t="shared" si="184"/>
        <v>0</v>
      </c>
      <c r="H268" s="135">
        <f t="shared" si="184"/>
        <v>0</v>
      </c>
      <c r="I268" s="135">
        <f t="shared" si="184"/>
        <v>0</v>
      </c>
      <c r="J268" s="135">
        <f t="shared" si="184"/>
        <v>0</v>
      </c>
      <c r="K268" s="135">
        <f t="shared" si="184"/>
        <v>0</v>
      </c>
      <c r="L268" s="135">
        <f t="shared" si="184"/>
        <v>0</v>
      </c>
      <c r="M268" s="135">
        <f t="shared" si="184"/>
        <v>0</v>
      </c>
      <c r="N268" s="135">
        <f t="shared" si="184"/>
        <v>0</v>
      </c>
      <c r="O268" s="135">
        <f t="shared" si="184"/>
        <v>0</v>
      </c>
      <c r="P268" s="135">
        <f t="shared" si="173"/>
        <v>0</v>
      </c>
      <c r="Q268" s="209">
        <f t="shared" si="174"/>
        <v>0</v>
      </c>
    </row>
    <row r="269" spans="3:17">
      <c r="C269" s="472" t="s">
        <v>33</v>
      </c>
      <c r="D269" s="699">
        <f>SUM(D257:D268)</f>
        <v>3172.7101854000034</v>
      </c>
      <c r="E269" s="699">
        <f t="shared" ref="E269:O269" si="185">SUM(E257:E268)</f>
        <v>2656.3702703999998</v>
      </c>
      <c r="F269" s="699">
        <f t="shared" si="185"/>
        <v>2476.0902935999975</v>
      </c>
      <c r="G269" s="699">
        <f t="shared" si="185"/>
        <v>1873.2477645000029</v>
      </c>
      <c r="H269" s="699">
        <f t="shared" si="185"/>
        <v>1070.0569865999992</v>
      </c>
      <c r="I269" s="699">
        <f t="shared" si="185"/>
        <v>0</v>
      </c>
      <c r="J269" s="699">
        <f t="shared" si="185"/>
        <v>0</v>
      </c>
      <c r="K269" s="699">
        <f t="shared" si="185"/>
        <v>0</v>
      </c>
      <c r="L269" s="699">
        <f t="shared" si="185"/>
        <v>0</v>
      </c>
      <c r="M269" s="699">
        <f t="shared" si="185"/>
        <v>816.73686150000003</v>
      </c>
      <c r="N269" s="699">
        <f t="shared" si="185"/>
        <v>1970.9969726999998</v>
      </c>
      <c r="O269" s="699">
        <f t="shared" si="185"/>
        <v>2916.2962017</v>
      </c>
      <c r="P269" s="699">
        <f>SUM(D269:O269)</f>
        <v>16952.5055364</v>
      </c>
      <c r="Q269" s="388">
        <f>P269/$D$3</f>
        <v>10.71248375127962</v>
      </c>
    </row>
    <row r="270" spans="3:17">
      <c r="C270" s="472" t="s">
        <v>915</v>
      </c>
      <c r="D270" s="699">
        <f>D269-D133</f>
        <v>0</v>
      </c>
      <c r="E270" s="699">
        <f t="shared" ref="E270:O270" si="186">E269-E133</f>
        <v>0</v>
      </c>
      <c r="F270" s="699">
        <f t="shared" si="186"/>
        <v>0</v>
      </c>
      <c r="G270" s="699">
        <f t="shared" si="186"/>
        <v>0</v>
      </c>
      <c r="H270" s="699">
        <f t="shared" si="186"/>
        <v>0</v>
      </c>
      <c r="I270" s="699">
        <f t="shared" si="186"/>
        <v>0</v>
      </c>
      <c r="J270" s="699">
        <f t="shared" si="186"/>
        <v>0</v>
      </c>
      <c r="K270" s="699">
        <f t="shared" si="186"/>
        <v>0</v>
      </c>
      <c r="L270" s="699">
        <f t="shared" si="186"/>
        <v>0</v>
      </c>
      <c r="M270" s="699">
        <f t="shared" si="186"/>
        <v>0</v>
      </c>
      <c r="N270" s="699">
        <f t="shared" si="186"/>
        <v>0</v>
      </c>
      <c r="O270" s="699">
        <f t="shared" si="186"/>
        <v>0</v>
      </c>
      <c r="P270" s="705"/>
      <c r="Q270" s="705"/>
    </row>
    <row r="271" spans="3:17">
      <c r="C271" s="695" t="s">
        <v>947</v>
      </c>
      <c r="D271" s="135">
        <f>IF(D$112=0,0,-D$105*$D$29*D$44/1000)</f>
        <v>-1.2053741704344688E-2</v>
      </c>
      <c r="E271" s="135">
        <f t="shared" ref="E271:O271" si="187">IF(E$112=0,0,-E$105*$D$29*E$44/1000)</f>
        <v>-1.4014782497930575E-2</v>
      </c>
      <c r="F271" s="135">
        <f t="shared" si="187"/>
        <v>-5.2930049702896373E-2</v>
      </c>
      <c r="G271" s="135">
        <f t="shared" si="187"/>
        <v>-0.27034848575373815</v>
      </c>
      <c r="H271" s="135">
        <f t="shared" si="187"/>
        <v>-1.0444958282390036</v>
      </c>
      <c r="I271" s="135">
        <f t="shared" si="187"/>
        <v>0</v>
      </c>
      <c r="J271" s="135">
        <f t="shared" si="187"/>
        <v>0</v>
      </c>
      <c r="K271" s="135">
        <f t="shared" si="187"/>
        <v>0</v>
      </c>
      <c r="L271" s="135">
        <f t="shared" si="187"/>
        <v>0</v>
      </c>
      <c r="M271" s="135">
        <f t="shared" si="187"/>
        <v>-2.0337982461572208</v>
      </c>
      <c r="N271" s="135">
        <f t="shared" si="187"/>
        <v>-9.6968448344969232E-2</v>
      </c>
      <c r="O271" s="135">
        <f t="shared" si="187"/>
        <v>-8.4489050890221448E-2</v>
      </c>
      <c r="P271" s="135">
        <f>SUM(D271:O271)</f>
        <v>-3.6090986332903245</v>
      </c>
      <c r="Q271" s="209">
        <f>P271/$D$3</f>
        <v>-2.28063104789278E-3</v>
      </c>
    </row>
    <row r="272" spans="3:17">
      <c r="C272" s="695" t="s">
        <v>948</v>
      </c>
      <c r="D272" s="135">
        <f>IF(D$112=0,0,-D$105*$E$29*D$44/1000)</f>
        <v>0</v>
      </c>
      <c r="E272" s="135">
        <f t="shared" ref="E272:O272" si="188">IF(E$112=0,0,-E$105*$E$29*E$44/1000)</f>
        <v>0</v>
      </c>
      <c r="F272" s="135">
        <f t="shared" si="188"/>
        <v>0</v>
      </c>
      <c r="G272" s="135">
        <f t="shared" si="188"/>
        <v>0</v>
      </c>
      <c r="H272" s="135">
        <f t="shared" si="188"/>
        <v>0</v>
      </c>
      <c r="I272" s="135">
        <f t="shared" si="188"/>
        <v>0</v>
      </c>
      <c r="J272" s="135">
        <f t="shared" si="188"/>
        <v>0</v>
      </c>
      <c r="K272" s="135">
        <f t="shared" si="188"/>
        <v>0</v>
      </c>
      <c r="L272" s="135">
        <f t="shared" si="188"/>
        <v>0</v>
      </c>
      <c r="M272" s="135">
        <f t="shared" si="188"/>
        <v>0</v>
      </c>
      <c r="N272" s="135">
        <f t="shared" si="188"/>
        <v>0</v>
      </c>
      <c r="O272" s="135">
        <f t="shared" si="188"/>
        <v>0</v>
      </c>
      <c r="P272" s="135">
        <f t="shared" ref="P272:P283" si="189">SUM(D272:O272)</f>
        <v>0</v>
      </c>
      <c r="Q272" s="209">
        <f t="shared" ref="Q272:Q283" si="190">P272/$D$3</f>
        <v>0</v>
      </c>
    </row>
    <row r="273" spans="3:17">
      <c r="C273" s="695" t="s">
        <v>949</v>
      </c>
      <c r="D273" s="135">
        <f>IF(D$112=0,0,-D$105*$F$29*D$44/1000)</f>
        <v>-0.21134227121617691</v>
      </c>
      <c r="E273" s="135">
        <f t="shared" ref="E273:O273" si="191">IF(E$112=0,0,-E$105*$F$29*E$44/1000)</f>
        <v>-0.24572585313038275</v>
      </c>
      <c r="F273" s="135">
        <f t="shared" si="191"/>
        <v>-0.92804020479078331</v>
      </c>
      <c r="G273" s="135">
        <f t="shared" si="191"/>
        <v>-4.7401101168822093</v>
      </c>
      <c r="H273" s="135">
        <f t="shared" si="191"/>
        <v>-18.313493521790527</v>
      </c>
      <c r="I273" s="135">
        <f t="shared" si="191"/>
        <v>0</v>
      </c>
      <c r="J273" s="135">
        <f t="shared" si="191"/>
        <v>0</v>
      </c>
      <c r="K273" s="135">
        <f t="shared" si="191"/>
        <v>0</v>
      </c>
      <c r="L273" s="135">
        <f t="shared" si="191"/>
        <v>0</v>
      </c>
      <c r="M273" s="135">
        <f t="shared" si="191"/>
        <v>-35.659262582623278</v>
      </c>
      <c r="N273" s="135">
        <f t="shared" si="191"/>
        <v>-1.7001801276484607</v>
      </c>
      <c r="O273" s="135">
        <f t="shared" si="191"/>
        <v>-1.4813746922752165</v>
      </c>
      <c r="P273" s="135">
        <f t="shared" si="189"/>
        <v>-63.279529370357032</v>
      </c>
      <c r="Q273" s="209">
        <f t="shared" si="190"/>
        <v>-3.9987064373053417E-2</v>
      </c>
    </row>
    <row r="274" spans="3:17">
      <c r="C274" s="695" t="s">
        <v>950</v>
      </c>
      <c r="D274" s="135">
        <f>IF(D$112=0,0,-D$105*$G$29*D$44/1000)</f>
        <v>-0.30937937041151364</v>
      </c>
      <c r="E274" s="135">
        <f t="shared" ref="E274:O274" si="192">IF(E$112=0,0,-E$105*$G$29*E$44/1000)</f>
        <v>-0.35971275078021808</v>
      </c>
      <c r="F274" s="135">
        <f t="shared" si="192"/>
        <v>-1.3585379423743404</v>
      </c>
      <c r="G274" s="135">
        <f t="shared" si="192"/>
        <v>-6.9389444676792795</v>
      </c>
      <c r="H274" s="135">
        <f t="shared" si="192"/>
        <v>-26.808726258134421</v>
      </c>
      <c r="I274" s="135">
        <f t="shared" si="192"/>
        <v>0</v>
      </c>
      <c r="J274" s="135">
        <f t="shared" si="192"/>
        <v>0</v>
      </c>
      <c r="K274" s="135">
        <f t="shared" si="192"/>
        <v>0</v>
      </c>
      <c r="L274" s="135">
        <f t="shared" si="192"/>
        <v>0</v>
      </c>
      <c r="M274" s="135">
        <f t="shared" si="192"/>
        <v>-52.20082165136867</v>
      </c>
      <c r="N274" s="135">
        <f t="shared" si="192"/>
        <v>-2.48885684085421</v>
      </c>
      <c r="O274" s="135">
        <f t="shared" si="192"/>
        <v>-2.1685523061823511</v>
      </c>
      <c r="P274" s="135">
        <f t="shared" si="189"/>
        <v>-92.633531587785001</v>
      </c>
      <c r="Q274" s="209">
        <f t="shared" si="190"/>
        <v>-5.8536196895914695E-2</v>
      </c>
    </row>
    <row r="275" spans="3:17">
      <c r="C275" s="695" t="s">
        <v>951</v>
      </c>
      <c r="D275" s="135">
        <f>IF(D$112=0,0,-D$105*$H$29*D$44/1000)</f>
        <v>-0.21134227121617691</v>
      </c>
      <c r="E275" s="135">
        <f t="shared" ref="E275:O275" si="193">IF(E$112=0,0,-E$105*$H$29*E$44/1000)</f>
        <v>-0.24572585313038275</v>
      </c>
      <c r="F275" s="135">
        <f t="shared" si="193"/>
        <v>-0.92804020479078331</v>
      </c>
      <c r="G275" s="135">
        <f t="shared" si="193"/>
        <v>-4.7401101168822093</v>
      </c>
      <c r="H275" s="135">
        <f t="shared" si="193"/>
        <v>-18.313493521790527</v>
      </c>
      <c r="I275" s="135">
        <f t="shared" si="193"/>
        <v>0</v>
      </c>
      <c r="J275" s="135">
        <f t="shared" si="193"/>
        <v>0</v>
      </c>
      <c r="K275" s="135">
        <f t="shared" si="193"/>
        <v>0</v>
      </c>
      <c r="L275" s="135">
        <f t="shared" si="193"/>
        <v>0</v>
      </c>
      <c r="M275" s="135">
        <f t="shared" si="193"/>
        <v>-35.659262582623278</v>
      </c>
      <c r="N275" s="135">
        <f t="shared" si="193"/>
        <v>-1.7001801276484607</v>
      </c>
      <c r="O275" s="135">
        <f t="shared" si="193"/>
        <v>-1.4813746922752165</v>
      </c>
      <c r="P275" s="135">
        <f t="shared" si="189"/>
        <v>-63.279529370357032</v>
      </c>
      <c r="Q275" s="209">
        <f t="shared" si="190"/>
        <v>-3.9987064373053417E-2</v>
      </c>
    </row>
    <row r="276" spans="3:17">
      <c r="C276" s="695" t="s">
        <v>952</v>
      </c>
      <c r="D276" s="135">
        <f>IF(D$112=0,0,-D$105*$I$29*D$44/1000)</f>
        <v>0</v>
      </c>
      <c r="E276" s="135">
        <f t="shared" ref="E276:O276" si="194">IF(E$112=0,0,-E$105*$I$29*E$44/1000)</f>
        <v>0</v>
      </c>
      <c r="F276" s="135">
        <f t="shared" si="194"/>
        <v>0</v>
      </c>
      <c r="G276" s="135">
        <f t="shared" si="194"/>
        <v>0</v>
      </c>
      <c r="H276" s="135">
        <f t="shared" si="194"/>
        <v>0</v>
      </c>
      <c r="I276" s="135">
        <f t="shared" si="194"/>
        <v>0</v>
      </c>
      <c r="J276" s="135">
        <f t="shared" si="194"/>
        <v>0</v>
      </c>
      <c r="K276" s="135">
        <f t="shared" si="194"/>
        <v>0</v>
      </c>
      <c r="L276" s="135">
        <f t="shared" si="194"/>
        <v>0</v>
      </c>
      <c r="M276" s="135">
        <f t="shared" si="194"/>
        <v>0</v>
      </c>
      <c r="N276" s="135">
        <f t="shared" si="194"/>
        <v>0</v>
      </c>
      <c r="O276" s="135">
        <f t="shared" si="194"/>
        <v>0</v>
      </c>
      <c r="P276" s="135">
        <f t="shared" si="189"/>
        <v>0</v>
      </c>
      <c r="Q276" s="209">
        <f t="shared" si="190"/>
        <v>0</v>
      </c>
    </row>
    <row r="277" spans="3:17">
      <c r="C277" s="695" t="s">
        <v>953</v>
      </c>
      <c r="D277" s="135">
        <f>IF(D$112=0,0,-D$105*$J$29*D$44/1000)</f>
        <v>0</v>
      </c>
      <c r="E277" s="135">
        <f t="shared" ref="E277:O277" si="195">IF(E$112=0,0,-E$105*$J$29*E$44/1000)</f>
        <v>0</v>
      </c>
      <c r="F277" s="135">
        <f t="shared" si="195"/>
        <v>0</v>
      </c>
      <c r="G277" s="135">
        <f t="shared" si="195"/>
        <v>0</v>
      </c>
      <c r="H277" s="135">
        <f t="shared" si="195"/>
        <v>0</v>
      </c>
      <c r="I277" s="135">
        <f t="shared" si="195"/>
        <v>0</v>
      </c>
      <c r="J277" s="135">
        <f t="shared" si="195"/>
        <v>0</v>
      </c>
      <c r="K277" s="135">
        <f t="shared" si="195"/>
        <v>0</v>
      </c>
      <c r="L277" s="135">
        <f t="shared" si="195"/>
        <v>0</v>
      </c>
      <c r="M277" s="135">
        <f t="shared" si="195"/>
        <v>0</v>
      </c>
      <c r="N277" s="135">
        <f t="shared" si="195"/>
        <v>0</v>
      </c>
      <c r="O277" s="135">
        <f t="shared" si="195"/>
        <v>0</v>
      </c>
      <c r="P277" s="135">
        <f t="shared" si="189"/>
        <v>0</v>
      </c>
      <c r="Q277" s="209">
        <f t="shared" si="190"/>
        <v>0</v>
      </c>
    </row>
    <row r="278" spans="3:17">
      <c r="C278" s="695" t="s">
        <v>954</v>
      </c>
      <c r="D278" s="135">
        <f>IF(D$112=0,0,-D$105*$K$29*D$44/1000)</f>
        <v>0</v>
      </c>
      <c r="E278" s="135">
        <f t="shared" ref="E278:O278" si="196">IF(E$112=0,0,-E$105*$K$29*E$44/1000)</f>
        <v>0</v>
      </c>
      <c r="F278" s="135">
        <f t="shared" si="196"/>
        <v>0</v>
      </c>
      <c r="G278" s="135">
        <f t="shared" si="196"/>
        <v>0</v>
      </c>
      <c r="H278" s="135">
        <f t="shared" si="196"/>
        <v>0</v>
      </c>
      <c r="I278" s="135">
        <f t="shared" si="196"/>
        <v>0</v>
      </c>
      <c r="J278" s="135">
        <f t="shared" si="196"/>
        <v>0</v>
      </c>
      <c r="K278" s="135">
        <f t="shared" si="196"/>
        <v>0</v>
      </c>
      <c r="L278" s="135">
        <f t="shared" si="196"/>
        <v>0</v>
      </c>
      <c r="M278" s="135">
        <f t="shared" si="196"/>
        <v>0</v>
      </c>
      <c r="N278" s="135">
        <f t="shared" si="196"/>
        <v>0</v>
      </c>
      <c r="O278" s="135">
        <f t="shared" si="196"/>
        <v>0</v>
      </c>
      <c r="P278" s="135">
        <f t="shared" si="189"/>
        <v>0</v>
      </c>
      <c r="Q278" s="209">
        <f t="shared" si="190"/>
        <v>0</v>
      </c>
    </row>
    <row r="279" spans="3:17">
      <c r="C279" s="695" t="str">
        <f>CONCATENATE("Trans.Gains windows ",L27)</f>
        <v>Trans.Gains windows 2</v>
      </c>
      <c r="D279" s="135">
        <f>IF(D$112=0,0,-D$105*$L$29*D$44/1000)</f>
        <v>0</v>
      </c>
      <c r="E279" s="135">
        <f t="shared" ref="E279:O279" si="197">IF(E$112=0,0,-E$105*$L$29*E$44/1000)</f>
        <v>0</v>
      </c>
      <c r="F279" s="135">
        <f t="shared" si="197"/>
        <v>0</v>
      </c>
      <c r="G279" s="135">
        <f t="shared" si="197"/>
        <v>0</v>
      </c>
      <c r="H279" s="135">
        <f t="shared" si="197"/>
        <v>0</v>
      </c>
      <c r="I279" s="135">
        <f t="shared" si="197"/>
        <v>0</v>
      </c>
      <c r="J279" s="135">
        <f t="shared" si="197"/>
        <v>0</v>
      </c>
      <c r="K279" s="135">
        <f t="shared" si="197"/>
        <v>0</v>
      </c>
      <c r="L279" s="135">
        <f t="shared" si="197"/>
        <v>0</v>
      </c>
      <c r="M279" s="135">
        <f t="shared" si="197"/>
        <v>0</v>
      </c>
      <c r="N279" s="135">
        <f t="shared" si="197"/>
        <v>0</v>
      </c>
      <c r="O279" s="135">
        <f t="shared" si="197"/>
        <v>0</v>
      </c>
      <c r="P279" s="135">
        <f t="shared" si="189"/>
        <v>0</v>
      </c>
      <c r="Q279" s="209">
        <f t="shared" si="190"/>
        <v>0</v>
      </c>
    </row>
    <row r="280" spans="3:17">
      <c r="C280" s="695" t="str">
        <f>CONCATENATE("Trans.Gains windows ",M27)</f>
        <v>Trans.Gains windows 0</v>
      </c>
      <c r="D280" s="135">
        <f>IF(D$112=0,0,-D$105*$M$29*D$44/1000)</f>
        <v>0</v>
      </c>
      <c r="E280" s="135">
        <f t="shared" ref="E280:O280" si="198">IF(E$112=0,0,-E$105*$M$29*E$44/1000)</f>
        <v>0</v>
      </c>
      <c r="F280" s="135">
        <f t="shared" si="198"/>
        <v>0</v>
      </c>
      <c r="G280" s="135">
        <f t="shared" si="198"/>
        <v>0</v>
      </c>
      <c r="H280" s="135">
        <f t="shared" si="198"/>
        <v>0</v>
      </c>
      <c r="I280" s="135">
        <f t="shared" si="198"/>
        <v>0</v>
      </c>
      <c r="J280" s="135">
        <f t="shared" si="198"/>
        <v>0</v>
      </c>
      <c r="K280" s="135">
        <f t="shared" si="198"/>
        <v>0</v>
      </c>
      <c r="L280" s="135">
        <f t="shared" si="198"/>
        <v>0</v>
      </c>
      <c r="M280" s="135">
        <f t="shared" si="198"/>
        <v>0</v>
      </c>
      <c r="N280" s="135">
        <f t="shared" si="198"/>
        <v>0</v>
      </c>
      <c r="O280" s="135">
        <f t="shared" si="198"/>
        <v>0</v>
      </c>
      <c r="P280" s="135">
        <f t="shared" si="189"/>
        <v>0</v>
      </c>
      <c r="Q280" s="209">
        <f t="shared" si="190"/>
        <v>0</v>
      </c>
    </row>
    <row r="281" spans="3:17">
      <c r="C281" s="695" t="str">
        <f>CONCATENATE("Trans.Gains windows ",N27)</f>
        <v>Trans.Gains windows 0</v>
      </c>
      <c r="D281" s="135">
        <f>IF(D$112=0,0,-D$105*$N$29*D$44/1000)</f>
        <v>0</v>
      </c>
      <c r="E281" s="135">
        <f t="shared" ref="E281:O281" si="199">IF(E$112=0,0,-E$105*$N$29*E$44/1000)</f>
        <v>0</v>
      </c>
      <c r="F281" s="135">
        <f t="shared" si="199"/>
        <v>0</v>
      </c>
      <c r="G281" s="135">
        <f t="shared" si="199"/>
        <v>0</v>
      </c>
      <c r="H281" s="135">
        <f t="shared" si="199"/>
        <v>0</v>
      </c>
      <c r="I281" s="135">
        <f t="shared" si="199"/>
        <v>0</v>
      </c>
      <c r="J281" s="135">
        <f t="shared" si="199"/>
        <v>0</v>
      </c>
      <c r="K281" s="135">
        <f t="shared" si="199"/>
        <v>0</v>
      </c>
      <c r="L281" s="135">
        <f t="shared" si="199"/>
        <v>0</v>
      </c>
      <c r="M281" s="135">
        <f t="shared" si="199"/>
        <v>0</v>
      </c>
      <c r="N281" s="135">
        <f t="shared" si="199"/>
        <v>0</v>
      </c>
      <c r="O281" s="135">
        <f t="shared" si="199"/>
        <v>0</v>
      </c>
      <c r="P281" s="135">
        <f t="shared" si="189"/>
        <v>0</v>
      </c>
      <c r="Q281" s="209">
        <f t="shared" si="190"/>
        <v>0</v>
      </c>
    </row>
    <row r="282" spans="3:17">
      <c r="C282" s="695" t="str">
        <f>CONCATENATE("Trans.Gains windows ",O27)</f>
        <v>Trans.Gains windows 0</v>
      </c>
      <c r="D282" s="135">
        <f>IF(D$112=0,0,-D$105*$O$29*D$44/1000)</f>
        <v>0</v>
      </c>
      <c r="E282" s="135">
        <f t="shared" ref="E282:O282" si="200">IF(E$112=0,0,-E$105*$O$29*E$44/1000)</f>
        <v>0</v>
      </c>
      <c r="F282" s="135">
        <f t="shared" si="200"/>
        <v>0</v>
      </c>
      <c r="G282" s="135">
        <f t="shared" si="200"/>
        <v>0</v>
      </c>
      <c r="H282" s="135">
        <f t="shared" si="200"/>
        <v>0</v>
      </c>
      <c r="I282" s="135">
        <f t="shared" si="200"/>
        <v>0</v>
      </c>
      <c r="J282" s="135">
        <f t="shared" si="200"/>
        <v>0</v>
      </c>
      <c r="K282" s="135">
        <f t="shared" si="200"/>
        <v>0</v>
      </c>
      <c r="L282" s="135">
        <f t="shared" si="200"/>
        <v>0</v>
      </c>
      <c r="M282" s="135">
        <f t="shared" si="200"/>
        <v>0</v>
      </c>
      <c r="N282" s="135">
        <f t="shared" si="200"/>
        <v>0</v>
      </c>
      <c r="O282" s="135">
        <f t="shared" si="200"/>
        <v>0</v>
      </c>
      <c r="P282" s="135">
        <f t="shared" si="189"/>
        <v>0</v>
      </c>
      <c r="Q282" s="209">
        <f t="shared" si="190"/>
        <v>0</v>
      </c>
    </row>
    <row r="283" spans="3:17">
      <c r="C283" s="708" t="s">
        <v>33</v>
      </c>
      <c r="D283" s="699">
        <f>SUM(D271:D282)</f>
        <v>-0.7441176545482121</v>
      </c>
      <c r="E283" s="699">
        <f t="shared" ref="E283:O283" si="201">SUM(E271:E282)</f>
        <v>-0.86517923953891418</v>
      </c>
      <c r="F283" s="699">
        <f t="shared" si="201"/>
        <v>-3.2675484016588032</v>
      </c>
      <c r="G283" s="699">
        <f t="shared" si="201"/>
        <v>-16.689513187197438</v>
      </c>
      <c r="H283" s="699">
        <f t="shared" si="201"/>
        <v>-64.480209129954488</v>
      </c>
      <c r="I283" s="699">
        <f t="shared" si="201"/>
        <v>0</v>
      </c>
      <c r="J283" s="699">
        <f t="shared" si="201"/>
        <v>0</v>
      </c>
      <c r="K283" s="699">
        <f t="shared" si="201"/>
        <v>0</v>
      </c>
      <c r="L283" s="699">
        <f t="shared" si="201"/>
        <v>0</v>
      </c>
      <c r="M283" s="699">
        <f t="shared" si="201"/>
        <v>-125.55314506277244</v>
      </c>
      <c r="N283" s="699">
        <f t="shared" si="201"/>
        <v>-5.9861855444961005</v>
      </c>
      <c r="O283" s="699">
        <f t="shared" si="201"/>
        <v>-5.2157907416230049</v>
      </c>
      <c r="P283" s="699">
        <f t="shared" si="189"/>
        <v>-222.80168896178941</v>
      </c>
      <c r="Q283" s="388">
        <f t="shared" si="190"/>
        <v>-0.14079095668991432</v>
      </c>
    </row>
    <row r="284" spans="3:17">
      <c r="C284" s="472" t="s">
        <v>915</v>
      </c>
      <c r="D284" s="699">
        <f>D283-D140</f>
        <v>0</v>
      </c>
      <c r="E284" s="699">
        <f t="shared" ref="E284:O284" si="202">E283-E140</f>
        <v>0</v>
      </c>
      <c r="F284" s="699">
        <f t="shared" si="202"/>
        <v>0</v>
      </c>
      <c r="G284" s="699">
        <f t="shared" si="202"/>
        <v>0</v>
      </c>
      <c r="H284" s="699">
        <f t="shared" si="202"/>
        <v>0</v>
      </c>
      <c r="I284" s="699">
        <f t="shared" si="202"/>
        <v>0</v>
      </c>
      <c r="J284" s="699">
        <f t="shared" si="202"/>
        <v>0</v>
      </c>
      <c r="K284" s="699">
        <f t="shared" si="202"/>
        <v>0</v>
      </c>
      <c r="L284" s="699">
        <f t="shared" si="202"/>
        <v>0</v>
      </c>
      <c r="M284" s="699">
        <f t="shared" si="202"/>
        <v>0</v>
      </c>
      <c r="N284" s="699">
        <f t="shared" si="202"/>
        <v>0</v>
      </c>
      <c r="O284" s="699">
        <f t="shared" si="202"/>
        <v>0</v>
      </c>
      <c r="P284" s="696"/>
      <c r="Q284" s="472"/>
    </row>
    <row r="285" spans="3:17" ht="15" thickBot="1"/>
    <row r="286" spans="3:17" ht="15">
      <c r="C286" s="709" t="s">
        <v>958</v>
      </c>
      <c r="D286" s="697" t="s">
        <v>832</v>
      </c>
      <c r="E286" s="698" t="s">
        <v>842</v>
      </c>
      <c r="F286" s="698" t="s">
        <v>833</v>
      </c>
      <c r="G286" s="698" t="s">
        <v>834</v>
      </c>
      <c r="H286" s="698" t="s">
        <v>835</v>
      </c>
      <c r="I286" s="698" t="s">
        <v>836</v>
      </c>
      <c r="J286" s="698" t="s">
        <v>837</v>
      </c>
      <c r="K286" s="698" t="s">
        <v>838</v>
      </c>
      <c r="L286" s="698" t="s">
        <v>839</v>
      </c>
      <c r="M286" s="698" t="s">
        <v>840</v>
      </c>
      <c r="N286" s="698" t="s">
        <v>841</v>
      </c>
      <c r="O286" s="702" t="s">
        <v>843</v>
      </c>
      <c r="P286" s="706" t="s">
        <v>33</v>
      </c>
      <c r="Q286" s="707" t="s">
        <v>917</v>
      </c>
    </row>
    <row r="287" spans="3:17">
      <c r="C287" s="695" t="s">
        <v>930</v>
      </c>
      <c r="D287" s="135">
        <f>IF(D$113=0,0,-D$106*$D$29*D$46/1000)</f>
        <v>0</v>
      </c>
      <c r="E287" s="135">
        <f t="shared" ref="E287:O287" si="203">IF(E$113=0,0,-E$106*$D$29*E$46/1000)</f>
        <v>0</v>
      </c>
      <c r="F287" s="135">
        <f t="shared" si="203"/>
        <v>0</v>
      </c>
      <c r="G287" s="135">
        <f t="shared" si="203"/>
        <v>0</v>
      </c>
      <c r="H287" s="135">
        <f t="shared" si="203"/>
        <v>-13.56111409570131</v>
      </c>
      <c r="I287" s="135">
        <f t="shared" si="203"/>
        <v>-11.819949912558329</v>
      </c>
      <c r="J287" s="135">
        <f t="shared" si="203"/>
        <v>-9.5050358328132347</v>
      </c>
      <c r="K287" s="135">
        <f t="shared" si="203"/>
        <v>-8.819445697213105</v>
      </c>
      <c r="L287" s="135">
        <f t="shared" si="203"/>
        <v>-8.9344613779358717</v>
      </c>
      <c r="M287" s="135">
        <f t="shared" si="203"/>
        <v>0</v>
      </c>
      <c r="N287" s="135">
        <f t="shared" si="203"/>
        <v>0</v>
      </c>
      <c r="O287" s="135">
        <f t="shared" si="203"/>
        <v>0</v>
      </c>
      <c r="P287" s="135">
        <f>SUM(D287:O287)</f>
        <v>-52.64000691622185</v>
      </c>
      <c r="Q287" s="209">
        <f>P287/$D$3</f>
        <v>-3.3263827435211279E-2</v>
      </c>
    </row>
    <row r="288" spans="3:17">
      <c r="C288" s="695" t="s">
        <v>931</v>
      </c>
      <c r="D288" s="135">
        <f>IF(D$113=0,0,-D$106*$E$29*D$46/1000)</f>
        <v>0</v>
      </c>
      <c r="E288" s="135">
        <f t="shared" ref="E288:O288" si="204">IF(E$113=0,0,-E$106*$E$29*E$46/1000)</f>
        <v>0</v>
      </c>
      <c r="F288" s="135">
        <f t="shared" si="204"/>
        <v>0</v>
      </c>
      <c r="G288" s="135">
        <f t="shared" si="204"/>
        <v>0</v>
      </c>
      <c r="H288" s="135">
        <f t="shared" si="204"/>
        <v>0</v>
      </c>
      <c r="I288" s="135">
        <f t="shared" si="204"/>
        <v>0</v>
      </c>
      <c r="J288" s="135">
        <f t="shared" si="204"/>
        <v>0</v>
      </c>
      <c r="K288" s="135">
        <f t="shared" si="204"/>
        <v>0</v>
      </c>
      <c r="L288" s="135">
        <f t="shared" si="204"/>
        <v>0</v>
      </c>
      <c r="M288" s="135">
        <f t="shared" si="204"/>
        <v>0</v>
      </c>
      <c r="N288" s="135">
        <f t="shared" si="204"/>
        <v>0</v>
      </c>
      <c r="O288" s="135">
        <f t="shared" si="204"/>
        <v>0</v>
      </c>
      <c r="P288" s="135">
        <f t="shared" ref="P288:P299" si="205">SUM(D288:O288)</f>
        <v>0</v>
      </c>
      <c r="Q288" s="209">
        <f t="shared" ref="Q288:Q299" si="206">P288/$D$3</f>
        <v>0</v>
      </c>
    </row>
    <row r="289" spans="3:17">
      <c r="C289" s="695" t="s">
        <v>932</v>
      </c>
      <c r="D289" s="135">
        <f>IF(D$113=0,0,-D$106*$F$29*D$46/1000)</f>
        <v>0</v>
      </c>
      <c r="E289" s="135">
        <f t="shared" ref="E289:O289" si="207">IF(E$113=0,0,-E$106*$F$29*E$46/1000)</f>
        <v>0</v>
      </c>
      <c r="F289" s="135">
        <f t="shared" si="207"/>
        <v>0</v>
      </c>
      <c r="G289" s="135">
        <f t="shared" si="207"/>
        <v>0</v>
      </c>
      <c r="H289" s="135">
        <f t="shared" si="207"/>
        <v>-237.77153381129634</v>
      </c>
      <c r="I289" s="135">
        <f t="shared" si="207"/>
        <v>-207.24312180018941</v>
      </c>
      <c r="J289" s="135">
        <f t="shared" si="207"/>
        <v>-166.65496160199206</v>
      </c>
      <c r="K289" s="135">
        <f t="shared" si="207"/>
        <v>-154.63428122446976</v>
      </c>
      <c r="L289" s="135">
        <f t="shared" si="207"/>
        <v>-156.65088949314227</v>
      </c>
      <c r="M289" s="135">
        <f t="shared" si="207"/>
        <v>0</v>
      </c>
      <c r="N289" s="135">
        <f t="shared" si="207"/>
        <v>0</v>
      </c>
      <c r="O289" s="135">
        <f t="shared" si="207"/>
        <v>0</v>
      </c>
      <c r="P289" s="135">
        <f t="shared" si="205"/>
        <v>-922.95478793108975</v>
      </c>
      <c r="Q289" s="209">
        <f t="shared" si="206"/>
        <v>-0.58322577436403777</v>
      </c>
    </row>
    <row r="290" spans="3:17">
      <c r="C290" s="695" t="s">
        <v>933</v>
      </c>
      <c r="D290" s="135">
        <f>IF(D$113=0,0,-D$106*$G$29*D$46/1000)</f>
        <v>0</v>
      </c>
      <c r="E290" s="135">
        <f t="shared" ref="E290:O290" si="208">IF(E$113=0,0,-E$106*$G$29*E$46/1000)</f>
        <v>0</v>
      </c>
      <c r="F290" s="135">
        <f t="shared" si="208"/>
        <v>0</v>
      </c>
      <c r="G290" s="135">
        <f t="shared" si="208"/>
        <v>0</v>
      </c>
      <c r="H290" s="135">
        <f t="shared" si="208"/>
        <v>-348.06859512300031</v>
      </c>
      <c r="I290" s="135">
        <f t="shared" si="208"/>
        <v>-303.37871442233046</v>
      </c>
      <c r="J290" s="135">
        <f t="shared" si="208"/>
        <v>-243.96258637553967</v>
      </c>
      <c r="K290" s="135">
        <f t="shared" si="208"/>
        <v>-226.36577289513633</v>
      </c>
      <c r="L290" s="135">
        <f t="shared" si="208"/>
        <v>-229.31784203368736</v>
      </c>
      <c r="M290" s="135">
        <f t="shared" si="208"/>
        <v>0</v>
      </c>
      <c r="N290" s="135">
        <f t="shared" si="208"/>
        <v>0</v>
      </c>
      <c r="O290" s="135">
        <f t="shared" si="208"/>
        <v>0</v>
      </c>
      <c r="P290" s="135">
        <f t="shared" si="205"/>
        <v>-1351.0935108496942</v>
      </c>
      <c r="Q290" s="209">
        <f t="shared" si="206"/>
        <v>-0.85377157083708954</v>
      </c>
    </row>
    <row r="291" spans="3:17">
      <c r="C291" s="695" t="s">
        <v>934</v>
      </c>
      <c r="D291" s="135">
        <f>IF(D$113=0,0,-D$106*$H$29*D$46/1000)</f>
        <v>0</v>
      </c>
      <c r="E291" s="135">
        <f t="shared" ref="E291:O291" si="209">IF(E$113=0,0,-E$106*$H$29*E$46/1000)</f>
        <v>0</v>
      </c>
      <c r="F291" s="135">
        <f t="shared" si="209"/>
        <v>0</v>
      </c>
      <c r="G291" s="135">
        <f t="shared" si="209"/>
        <v>0</v>
      </c>
      <c r="H291" s="135">
        <f t="shared" si="209"/>
        <v>-237.77153381129634</v>
      </c>
      <c r="I291" s="135">
        <f t="shared" si="209"/>
        <v>-207.24312180018941</v>
      </c>
      <c r="J291" s="135">
        <f t="shared" si="209"/>
        <v>-166.65496160199206</v>
      </c>
      <c r="K291" s="135">
        <f t="shared" si="209"/>
        <v>-154.63428122446976</v>
      </c>
      <c r="L291" s="135">
        <f t="shared" si="209"/>
        <v>-156.65088949314227</v>
      </c>
      <c r="M291" s="135">
        <f t="shared" si="209"/>
        <v>0</v>
      </c>
      <c r="N291" s="135">
        <f t="shared" si="209"/>
        <v>0</v>
      </c>
      <c r="O291" s="135">
        <f t="shared" si="209"/>
        <v>0</v>
      </c>
      <c r="P291" s="135">
        <f t="shared" si="205"/>
        <v>-922.95478793108975</v>
      </c>
      <c r="Q291" s="209">
        <f t="shared" si="206"/>
        <v>-0.58322577436403777</v>
      </c>
    </row>
    <row r="292" spans="3:17">
      <c r="C292" s="695" t="s">
        <v>935</v>
      </c>
      <c r="D292" s="135">
        <f>IF(D$113=0,0,-D$106*$I$29*D$46/1000)</f>
        <v>0</v>
      </c>
      <c r="E292" s="135">
        <f t="shared" ref="E292:O292" si="210">IF(E$113=0,0,-E$106*$I$29*E$46/1000)</f>
        <v>0</v>
      </c>
      <c r="F292" s="135">
        <f t="shared" si="210"/>
        <v>0</v>
      </c>
      <c r="G292" s="135">
        <f t="shared" si="210"/>
        <v>0</v>
      </c>
      <c r="H292" s="135">
        <f t="shared" si="210"/>
        <v>0</v>
      </c>
      <c r="I292" s="135">
        <f t="shared" si="210"/>
        <v>0</v>
      </c>
      <c r="J292" s="135">
        <f t="shared" si="210"/>
        <v>0</v>
      </c>
      <c r="K292" s="135">
        <f t="shared" si="210"/>
        <v>0</v>
      </c>
      <c r="L292" s="135">
        <f t="shared" si="210"/>
        <v>0</v>
      </c>
      <c r="M292" s="135">
        <f t="shared" si="210"/>
        <v>0</v>
      </c>
      <c r="N292" s="135">
        <f t="shared" si="210"/>
        <v>0</v>
      </c>
      <c r="O292" s="135">
        <f t="shared" si="210"/>
        <v>0</v>
      </c>
      <c r="P292" s="135">
        <f t="shared" si="205"/>
        <v>0</v>
      </c>
      <c r="Q292" s="209">
        <f t="shared" si="206"/>
        <v>0</v>
      </c>
    </row>
    <row r="293" spans="3:17">
      <c r="C293" s="695" t="s">
        <v>936</v>
      </c>
      <c r="D293" s="135">
        <f>IF(D$113=0,0,-D$106*$J$29*D$46/1000)</f>
        <v>0</v>
      </c>
      <c r="E293" s="135">
        <f t="shared" ref="E293:O293" si="211">IF(E$113=0,0,-E$106*$J$29*E$46/1000)</f>
        <v>0</v>
      </c>
      <c r="F293" s="135">
        <f t="shared" si="211"/>
        <v>0</v>
      </c>
      <c r="G293" s="135">
        <f t="shared" si="211"/>
        <v>0</v>
      </c>
      <c r="H293" s="135">
        <f t="shared" si="211"/>
        <v>0</v>
      </c>
      <c r="I293" s="135">
        <f t="shared" si="211"/>
        <v>0</v>
      </c>
      <c r="J293" s="135">
        <f t="shared" si="211"/>
        <v>0</v>
      </c>
      <c r="K293" s="135">
        <f t="shared" si="211"/>
        <v>0</v>
      </c>
      <c r="L293" s="135">
        <f t="shared" si="211"/>
        <v>0</v>
      </c>
      <c r="M293" s="135">
        <f t="shared" si="211"/>
        <v>0</v>
      </c>
      <c r="N293" s="135">
        <f t="shared" si="211"/>
        <v>0</v>
      </c>
      <c r="O293" s="135">
        <f t="shared" si="211"/>
        <v>0</v>
      </c>
      <c r="P293" s="135">
        <f t="shared" si="205"/>
        <v>0</v>
      </c>
      <c r="Q293" s="209">
        <f t="shared" si="206"/>
        <v>0</v>
      </c>
    </row>
    <row r="294" spans="3:17">
      <c r="C294" s="695" t="s">
        <v>937</v>
      </c>
      <c r="D294" s="135">
        <f>IF(D$113=0,0,-D$106*$K$29*D$46/1000)</f>
        <v>0</v>
      </c>
      <c r="E294" s="135">
        <f t="shared" ref="E294:O294" si="212">IF(E$113=0,0,-E$106*$K$29*E$46/1000)</f>
        <v>0</v>
      </c>
      <c r="F294" s="135">
        <f t="shared" si="212"/>
        <v>0</v>
      </c>
      <c r="G294" s="135">
        <f t="shared" si="212"/>
        <v>0</v>
      </c>
      <c r="H294" s="135">
        <f t="shared" si="212"/>
        <v>0</v>
      </c>
      <c r="I294" s="135">
        <f t="shared" si="212"/>
        <v>0</v>
      </c>
      <c r="J294" s="135">
        <f t="shared" si="212"/>
        <v>0</v>
      </c>
      <c r="K294" s="135">
        <f t="shared" si="212"/>
        <v>0</v>
      </c>
      <c r="L294" s="135">
        <f t="shared" si="212"/>
        <v>0</v>
      </c>
      <c r="M294" s="135">
        <f t="shared" si="212"/>
        <v>0</v>
      </c>
      <c r="N294" s="135">
        <f t="shared" si="212"/>
        <v>0</v>
      </c>
      <c r="O294" s="135">
        <f t="shared" si="212"/>
        <v>0</v>
      </c>
      <c r="P294" s="135">
        <f t="shared" si="205"/>
        <v>0</v>
      </c>
      <c r="Q294" s="209">
        <f t="shared" si="206"/>
        <v>0</v>
      </c>
    </row>
    <row r="295" spans="3:17">
      <c r="C295" s="695" t="str">
        <f>CONCATENATE("Trans.Loss windows ",L13)</f>
        <v>Trans.Loss windows wall 1</v>
      </c>
      <c r="D295" s="135">
        <f>IF(D$113=0,0,-D$106*$L$29*D$46/1000)</f>
        <v>0</v>
      </c>
      <c r="E295" s="135">
        <f t="shared" ref="E295:O295" si="213">IF(E$113=0,0,-E$106*$L$29*E$46/1000)</f>
        <v>0</v>
      </c>
      <c r="F295" s="135">
        <f t="shared" si="213"/>
        <v>0</v>
      </c>
      <c r="G295" s="135">
        <f t="shared" si="213"/>
        <v>0</v>
      </c>
      <c r="H295" s="135">
        <f t="shared" si="213"/>
        <v>0</v>
      </c>
      <c r="I295" s="135">
        <f t="shared" si="213"/>
        <v>0</v>
      </c>
      <c r="J295" s="135">
        <f t="shared" si="213"/>
        <v>0</v>
      </c>
      <c r="K295" s="135">
        <f t="shared" si="213"/>
        <v>0</v>
      </c>
      <c r="L295" s="135">
        <f t="shared" si="213"/>
        <v>0</v>
      </c>
      <c r="M295" s="135">
        <f t="shared" si="213"/>
        <v>0</v>
      </c>
      <c r="N295" s="135">
        <f t="shared" si="213"/>
        <v>0</v>
      </c>
      <c r="O295" s="135">
        <f t="shared" si="213"/>
        <v>0</v>
      </c>
      <c r="P295" s="135">
        <f t="shared" si="205"/>
        <v>0</v>
      </c>
      <c r="Q295" s="209">
        <f t="shared" si="206"/>
        <v>0</v>
      </c>
    </row>
    <row r="296" spans="3:17">
      <c r="C296" s="695" t="str">
        <f>CONCATENATE("Trans.Loss windows ",M133)</f>
        <v>Trans.Loss windows 816.7368615</v>
      </c>
      <c r="D296" s="135">
        <f>IF(D$113=0,0,-D$106*$M$29*D$46/1000)</f>
        <v>0</v>
      </c>
      <c r="E296" s="135">
        <f t="shared" ref="E296:O296" si="214">IF(E$113=0,0,-E$106*$M$29*E$46/1000)</f>
        <v>0</v>
      </c>
      <c r="F296" s="135">
        <f t="shared" si="214"/>
        <v>0</v>
      </c>
      <c r="G296" s="135">
        <f t="shared" si="214"/>
        <v>0</v>
      </c>
      <c r="H296" s="135">
        <f t="shared" si="214"/>
        <v>0</v>
      </c>
      <c r="I296" s="135">
        <f t="shared" si="214"/>
        <v>0</v>
      </c>
      <c r="J296" s="135">
        <f t="shared" si="214"/>
        <v>0</v>
      </c>
      <c r="K296" s="135">
        <f t="shared" si="214"/>
        <v>0</v>
      </c>
      <c r="L296" s="135">
        <f t="shared" si="214"/>
        <v>0</v>
      </c>
      <c r="M296" s="135">
        <f t="shared" si="214"/>
        <v>0</v>
      </c>
      <c r="N296" s="135">
        <f t="shared" si="214"/>
        <v>0</v>
      </c>
      <c r="O296" s="135">
        <f t="shared" si="214"/>
        <v>0</v>
      </c>
      <c r="P296" s="135">
        <f t="shared" si="205"/>
        <v>0</v>
      </c>
      <c r="Q296" s="209">
        <f t="shared" si="206"/>
        <v>0</v>
      </c>
    </row>
    <row r="297" spans="3:17">
      <c r="C297" s="695" t="str">
        <f>CONCATENATE("Trans.Loss windows ",N13)</f>
        <v>Trans.Loss windows wall 3</v>
      </c>
      <c r="D297" s="135">
        <f>IF(D$113=0,0,-D$106*$N$29*D$46/1000)</f>
        <v>0</v>
      </c>
      <c r="E297" s="135">
        <f t="shared" ref="E297:O297" si="215">IF(E$113=0,0,-E$106*$N$29*E$46/1000)</f>
        <v>0</v>
      </c>
      <c r="F297" s="135">
        <f t="shared" si="215"/>
        <v>0</v>
      </c>
      <c r="G297" s="135">
        <f t="shared" si="215"/>
        <v>0</v>
      </c>
      <c r="H297" s="135">
        <f t="shared" si="215"/>
        <v>0</v>
      </c>
      <c r="I297" s="135">
        <f t="shared" si="215"/>
        <v>0</v>
      </c>
      <c r="J297" s="135">
        <f t="shared" si="215"/>
        <v>0</v>
      </c>
      <c r="K297" s="135">
        <f t="shared" si="215"/>
        <v>0</v>
      </c>
      <c r="L297" s="135">
        <f t="shared" si="215"/>
        <v>0</v>
      </c>
      <c r="M297" s="135">
        <f t="shared" si="215"/>
        <v>0</v>
      </c>
      <c r="N297" s="135">
        <f t="shared" si="215"/>
        <v>0</v>
      </c>
      <c r="O297" s="135">
        <f t="shared" si="215"/>
        <v>0</v>
      </c>
      <c r="P297" s="135">
        <f t="shared" si="205"/>
        <v>0</v>
      </c>
      <c r="Q297" s="209">
        <f t="shared" si="206"/>
        <v>0</v>
      </c>
    </row>
    <row r="298" spans="3:17">
      <c r="C298" s="695" t="str">
        <f>CONCATENATE("Trans.Loss windows ",O13)</f>
        <v>Trans.Loss windows wall 4</v>
      </c>
      <c r="D298" s="135">
        <f>IF(D$113=0,0,-D$106*$O$29*D$46/1000)</f>
        <v>0</v>
      </c>
      <c r="E298" s="135">
        <f t="shared" ref="E298:O298" si="216">IF(E$113=0,0,-E$106*$O$29*E$46/1000)</f>
        <v>0</v>
      </c>
      <c r="F298" s="135">
        <f t="shared" si="216"/>
        <v>0</v>
      </c>
      <c r="G298" s="135">
        <f t="shared" si="216"/>
        <v>0</v>
      </c>
      <c r="H298" s="135">
        <f t="shared" si="216"/>
        <v>0</v>
      </c>
      <c r="I298" s="135">
        <f t="shared" si="216"/>
        <v>0</v>
      </c>
      <c r="J298" s="135">
        <f t="shared" si="216"/>
        <v>0</v>
      </c>
      <c r="K298" s="135">
        <f t="shared" si="216"/>
        <v>0</v>
      </c>
      <c r="L298" s="135">
        <f t="shared" si="216"/>
        <v>0</v>
      </c>
      <c r="M298" s="135">
        <f t="shared" si="216"/>
        <v>0</v>
      </c>
      <c r="N298" s="135">
        <f t="shared" si="216"/>
        <v>0</v>
      </c>
      <c r="O298" s="135">
        <f t="shared" si="216"/>
        <v>0</v>
      </c>
      <c r="P298" s="135">
        <f t="shared" si="205"/>
        <v>0</v>
      </c>
      <c r="Q298" s="209">
        <f t="shared" si="206"/>
        <v>0</v>
      </c>
    </row>
    <row r="299" spans="3:17">
      <c r="C299" s="472" t="s">
        <v>33</v>
      </c>
      <c r="D299" s="699">
        <f>SUM(D287:D298)</f>
        <v>0</v>
      </c>
      <c r="E299" s="699">
        <f t="shared" ref="E299:O299" si="217">SUM(E287:E298)</f>
        <v>0</v>
      </c>
      <c r="F299" s="699">
        <f t="shared" si="217"/>
        <v>0</v>
      </c>
      <c r="G299" s="699">
        <f t="shared" si="217"/>
        <v>0</v>
      </c>
      <c r="H299" s="699">
        <f t="shared" si="217"/>
        <v>-837.17277684129419</v>
      </c>
      <c r="I299" s="699">
        <f t="shared" si="217"/>
        <v>-729.68490793526769</v>
      </c>
      <c r="J299" s="699">
        <f t="shared" si="217"/>
        <v>-586.77754541233708</v>
      </c>
      <c r="K299" s="699">
        <f t="shared" si="217"/>
        <v>-544.45378104128895</v>
      </c>
      <c r="L299" s="699">
        <f t="shared" si="217"/>
        <v>-551.55408239790779</v>
      </c>
      <c r="M299" s="699">
        <f t="shared" si="217"/>
        <v>0</v>
      </c>
      <c r="N299" s="699">
        <f t="shared" si="217"/>
        <v>0</v>
      </c>
      <c r="O299" s="699">
        <f t="shared" si="217"/>
        <v>0</v>
      </c>
      <c r="P299" s="699">
        <f t="shared" si="205"/>
        <v>-3249.6430936280958</v>
      </c>
      <c r="Q299" s="388">
        <f t="shared" si="206"/>
        <v>-2.0534869470003767</v>
      </c>
    </row>
    <row r="300" spans="3:17">
      <c r="C300" s="472" t="s">
        <v>915</v>
      </c>
      <c r="D300" s="699">
        <f>D299-D148</f>
        <v>0</v>
      </c>
      <c r="E300" s="699">
        <f t="shared" ref="E300:O300" si="218">E299-E148</f>
        <v>0</v>
      </c>
      <c r="F300" s="699">
        <f t="shared" si="218"/>
        <v>0</v>
      </c>
      <c r="G300" s="699">
        <f t="shared" si="218"/>
        <v>0</v>
      </c>
      <c r="H300" s="699">
        <f t="shared" si="218"/>
        <v>0</v>
      </c>
      <c r="I300" s="699">
        <f t="shared" si="218"/>
        <v>0</v>
      </c>
      <c r="J300" s="699">
        <f t="shared" si="218"/>
        <v>0</v>
      </c>
      <c r="K300" s="699">
        <f t="shared" si="218"/>
        <v>0</v>
      </c>
      <c r="L300" s="699">
        <f t="shared" si="218"/>
        <v>0</v>
      </c>
      <c r="M300" s="699">
        <f t="shared" si="218"/>
        <v>0</v>
      </c>
      <c r="N300" s="699">
        <f t="shared" si="218"/>
        <v>0</v>
      </c>
      <c r="O300" s="699">
        <f t="shared" si="218"/>
        <v>0</v>
      </c>
      <c r="P300" s="705"/>
      <c r="Q300" s="705"/>
    </row>
    <row r="301" spans="3:17">
      <c r="C301" s="695" t="s">
        <v>947</v>
      </c>
      <c r="D301" s="135">
        <f>IF(D$113=0,0,$D$29*D$45/1000)</f>
        <v>0</v>
      </c>
      <c r="E301" s="135">
        <f t="shared" ref="E301:O301" si="219">IF(E$113=0,0,$D$29*E$45/1000)</f>
        <v>0</v>
      </c>
      <c r="F301" s="135">
        <f t="shared" si="219"/>
        <v>0</v>
      </c>
      <c r="G301" s="135">
        <f t="shared" si="219"/>
        <v>0</v>
      </c>
      <c r="H301" s="135">
        <f t="shared" si="219"/>
        <v>0</v>
      </c>
      <c r="I301" s="135">
        <f t="shared" si="219"/>
        <v>0.15305849999999999</v>
      </c>
      <c r="J301" s="135">
        <f t="shared" si="219"/>
        <v>1.7066699999999999</v>
      </c>
      <c r="K301" s="135">
        <f t="shared" si="219"/>
        <v>2.0385225000000009</v>
      </c>
      <c r="L301" s="135">
        <f t="shared" si="219"/>
        <v>0.91564199999999996</v>
      </c>
      <c r="M301" s="135">
        <f t="shared" si="219"/>
        <v>0</v>
      </c>
      <c r="N301" s="135">
        <f t="shared" si="219"/>
        <v>0</v>
      </c>
      <c r="O301" s="135">
        <f t="shared" si="219"/>
        <v>0</v>
      </c>
      <c r="P301" s="135">
        <f>SUM(D301:O301)</f>
        <v>4.8138930000000011</v>
      </c>
      <c r="Q301" s="209">
        <f>P301/$D$3</f>
        <v>3.0419545023696688E-3</v>
      </c>
    </row>
    <row r="302" spans="3:17">
      <c r="C302" s="695" t="s">
        <v>948</v>
      </c>
      <c r="D302" s="135">
        <f>IF(D$113=0,0,$E$29*D$45/1000)</f>
        <v>0</v>
      </c>
      <c r="E302" s="135">
        <f t="shared" ref="E302:O302" si="220">IF(E$113=0,0,$E$29*E$45/1000)</f>
        <v>0</v>
      </c>
      <c r="F302" s="135">
        <f t="shared" si="220"/>
        <v>0</v>
      </c>
      <c r="G302" s="135">
        <f t="shared" si="220"/>
        <v>0</v>
      </c>
      <c r="H302" s="135">
        <f t="shared" si="220"/>
        <v>0</v>
      </c>
      <c r="I302" s="135">
        <f t="shared" si="220"/>
        <v>0</v>
      </c>
      <c r="J302" s="135">
        <f t="shared" si="220"/>
        <v>0</v>
      </c>
      <c r="K302" s="135">
        <f t="shared" si="220"/>
        <v>0</v>
      </c>
      <c r="L302" s="135">
        <f t="shared" si="220"/>
        <v>0</v>
      </c>
      <c r="M302" s="135">
        <f t="shared" si="220"/>
        <v>0</v>
      </c>
      <c r="N302" s="135">
        <f t="shared" si="220"/>
        <v>0</v>
      </c>
      <c r="O302" s="135">
        <f t="shared" si="220"/>
        <v>0</v>
      </c>
      <c r="P302" s="135">
        <f t="shared" ref="P302:P313" si="221">SUM(D302:O302)</f>
        <v>0</v>
      </c>
      <c r="Q302" s="209">
        <f t="shared" ref="Q302:Q313" si="222">P302/$D$3</f>
        <v>0</v>
      </c>
    </row>
    <row r="303" spans="3:17">
      <c r="C303" s="695" t="s">
        <v>949</v>
      </c>
      <c r="D303" s="135">
        <f>IF(D$113=0,0,$F$29*D$45/1000)</f>
        <v>0</v>
      </c>
      <c r="E303" s="135">
        <f t="shared" ref="E303:O303" si="223">IF(E$113=0,0,$F$29*E$45/1000)</f>
        <v>0</v>
      </c>
      <c r="F303" s="135">
        <f t="shared" si="223"/>
        <v>0</v>
      </c>
      <c r="G303" s="135">
        <f t="shared" si="223"/>
        <v>0</v>
      </c>
      <c r="H303" s="135">
        <f t="shared" si="223"/>
        <v>0</v>
      </c>
      <c r="I303" s="135">
        <f t="shared" si="223"/>
        <v>2.6836256999999999</v>
      </c>
      <c r="J303" s="135">
        <f t="shared" si="223"/>
        <v>29.923614000000001</v>
      </c>
      <c r="K303" s="135">
        <f t="shared" si="223"/>
        <v>35.742094500000022</v>
      </c>
      <c r="L303" s="135">
        <f t="shared" si="223"/>
        <v>16.054256400000003</v>
      </c>
      <c r="M303" s="135">
        <f t="shared" si="223"/>
        <v>0</v>
      </c>
      <c r="N303" s="135">
        <f t="shared" si="223"/>
        <v>0</v>
      </c>
      <c r="O303" s="135">
        <f t="shared" si="223"/>
        <v>0</v>
      </c>
      <c r="P303" s="135">
        <f t="shared" si="221"/>
        <v>84.403590600000015</v>
      </c>
      <c r="Q303" s="209">
        <f t="shared" si="222"/>
        <v>5.3335602274881523E-2</v>
      </c>
    </row>
    <row r="304" spans="3:17">
      <c r="C304" s="695" t="s">
        <v>950</v>
      </c>
      <c r="D304" s="135">
        <f>IF(D$113=0,0,$G$29*D$45/1000)</f>
        <v>0</v>
      </c>
      <c r="E304" s="135">
        <f t="shared" ref="E304:O304" si="224">IF(E$113=0,0,$G$29*E$45/1000)</f>
        <v>0</v>
      </c>
      <c r="F304" s="135">
        <f t="shared" si="224"/>
        <v>0</v>
      </c>
      <c r="G304" s="135">
        <f t="shared" si="224"/>
        <v>0</v>
      </c>
      <c r="H304" s="135">
        <f t="shared" si="224"/>
        <v>0</v>
      </c>
      <c r="I304" s="135">
        <f t="shared" si="224"/>
        <v>3.9285014999999999</v>
      </c>
      <c r="J304" s="135">
        <f t="shared" si="224"/>
        <v>43.80453</v>
      </c>
      <c r="K304" s="135">
        <f t="shared" si="224"/>
        <v>52.322077500000027</v>
      </c>
      <c r="L304" s="135">
        <f t="shared" si="224"/>
        <v>23.501478000000002</v>
      </c>
      <c r="M304" s="135">
        <f t="shared" si="224"/>
        <v>0</v>
      </c>
      <c r="N304" s="135">
        <f t="shared" si="224"/>
        <v>0</v>
      </c>
      <c r="O304" s="135">
        <f t="shared" si="224"/>
        <v>0</v>
      </c>
      <c r="P304" s="135">
        <f t="shared" si="221"/>
        <v>123.55658700000004</v>
      </c>
      <c r="Q304" s="209">
        <f t="shared" si="222"/>
        <v>7.807683222748818E-2</v>
      </c>
    </row>
    <row r="305" spans="3:17">
      <c r="C305" s="695" t="s">
        <v>951</v>
      </c>
      <c r="D305" s="135">
        <f>IF(D$113=0,0,$H$29*D$45/1000)</f>
        <v>0</v>
      </c>
      <c r="E305" s="135">
        <f t="shared" ref="E305:O305" si="225">IF(E$113=0,0,$H$29*E$45/1000)</f>
        <v>0</v>
      </c>
      <c r="F305" s="135">
        <f t="shared" si="225"/>
        <v>0</v>
      </c>
      <c r="G305" s="135">
        <f t="shared" si="225"/>
        <v>0</v>
      </c>
      <c r="H305" s="135">
        <f t="shared" si="225"/>
        <v>0</v>
      </c>
      <c r="I305" s="135">
        <f t="shared" si="225"/>
        <v>2.6836256999999999</v>
      </c>
      <c r="J305" s="135">
        <f t="shared" si="225"/>
        <v>29.923614000000001</v>
      </c>
      <c r="K305" s="135">
        <f t="shared" si="225"/>
        <v>35.742094500000022</v>
      </c>
      <c r="L305" s="135">
        <f t="shared" si="225"/>
        <v>16.054256400000003</v>
      </c>
      <c r="M305" s="135">
        <f t="shared" si="225"/>
        <v>0</v>
      </c>
      <c r="N305" s="135">
        <f t="shared" si="225"/>
        <v>0</v>
      </c>
      <c r="O305" s="135">
        <f t="shared" si="225"/>
        <v>0</v>
      </c>
      <c r="P305" s="135">
        <f t="shared" si="221"/>
        <v>84.403590600000015</v>
      </c>
      <c r="Q305" s="209">
        <f t="shared" si="222"/>
        <v>5.3335602274881523E-2</v>
      </c>
    </row>
    <row r="306" spans="3:17">
      <c r="C306" s="695" t="s">
        <v>952</v>
      </c>
      <c r="D306" s="135">
        <f>IF(D$113=0,0,$I$29*D$45/1000)</f>
        <v>0</v>
      </c>
      <c r="E306" s="135">
        <f t="shared" ref="E306:O306" si="226">IF(E$113=0,0,$I$29*E$45/1000)</f>
        <v>0</v>
      </c>
      <c r="F306" s="135">
        <f t="shared" si="226"/>
        <v>0</v>
      </c>
      <c r="G306" s="135">
        <f t="shared" si="226"/>
        <v>0</v>
      </c>
      <c r="H306" s="135">
        <f t="shared" si="226"/>
        <v>0</v>
      </c>
      <c r="I306" s="135">
        <f t="shared" si="226"/>
        <v>0</v>
      </c>
      <c r="J306" s="135">
        <f t="shared" si="226"/>
        <v>0</v>
      </c>
      <c r="K306" s="135">
        <f t="shared" si="226"/>
        <v>0</v>
      </c>
      <c r="L306" s="135">
        <f t="shared" si="226"/>
        <v>0</v>
      </c>
      <c r="M306" s="135">
        <f t="shared" si="226"/>
        <v>0</v>
      </c>
      <c r="N306" s="135">
        <f t="shared" si="226"/>
        <v>0</v>
      </c>
      <c r="O306" s="135">
        <f t="shared" si="226"/>
        <v>0</v>
      </c>
      <c r="P306" s="135">
        <f t="shared" si="221"/>
        <v>0</v>
      </c>
      <c r="Q306" s="209">
        <f t="shared" si="222"/>
        <v>0</v>
      </c>
    </row>
    <row r="307" spans="3:17">
      <c r="C307" s="695" t="s">
        <v>953</v>
      </c>
      <c r="D307" s="135">
        <f>IF(D$113=0,0,$J$29*D$45/1000)</f>
        <v>0</v>
      </c>
      <c r="E307" s="135">
        <f t="shared" ref="E307:O307" si="227">IF(E$113=0,0,$J$29*E$45/1000)</f>
        <v>0</v>
      </c>
      <c r="F307" s="135">
        <f t="shared" si="227"/>
        <v>0</v>
      </c>
      <c r="G307" s="135">
        <f t="shared" si="227"/>
        <v>0</v>
      </c>
      <c r="H307" s="135">
        <f t="shared" si="227"/>
        <v>0</v>
      </c>
      <c r="I307" s="135">
        <f t="shared" si="227"/>
        <v>0</v>
      </c>
      <c r="J307" s="135">
        <f t="shared" si="227"/>
        <v>0</v>
      </c>
      <c r="K307" s="135">
        <f t="shared" si="227"/>
        <v>0</v>
      </c>
      <c r="L307" s="135">
        <f t="shared" si="227"/>
        <v>0</v>
      </c>
      <c r="M307" s="135">
        <f t="shared" si="227"/>
        <v>0</v>
      </c>
      <c r="N307" s="135">
        <f t="shared" si="227"/>
        <v>0</v>
      </c>
      <c r="O307" s="135">
        <f t="shared" si="227"/>
        <v>0</v>
      </c>
      <c r="P307" s="135">
        <f t="shared" si="221"/>
        <v>0</v>
      </c>
      <c r="Q307" s="209">
        <f t="shared" si="222"/>
        <v>0</v>
      </c>
    </row>
    <row r="308" spans="3:17">
      <c r="C308" s="695" t="s">
        <v>954</v>
      </c>
      <c r="D308" s="135">
        <f>IF(D$113=0,0,$K$29*D$45/1000)</f>
        <v>0</v>
      </c>
      <c r="E308" s="135">
        <f t="shared" ref="E308:O308" si="228">IF(E$113=0,0,$K$29*E$45/1000)</f>
        <v>0</v>
      </c>
      <c r="F308" s="135">
        <f t="shared" si="228"/>
        <v>0</v>
      </c>
      <c r="G308" s="135">
        <f t="shared" si="228"/>
        <v>0</v>
      </c>
      <c r="H308" s="135">
        <f t="shared" si="228"/>
        <v>0</v>
      </c>
      <c r="I308" s="135">
        <f t="shared" si="228"/>
        <v>0</v>
      </c>
      <c r="J308" s="135">
        <f t="shared" si="228"/>
        <v>0</v>
      </c>
      <c r="K308" s="135">
        <f t="shared" si="228"/>
        <v>0</v>
      </c>
      <c r="L308" s="135">
        <f t="shared" si="228"/>
        <v>0</v>
      </c>
      <c r="M308" s="135">
        <f t="shared" si="228"/>
        <v>0</v>
      </c>
      <c r="N308" s="135">
        <f t="shared" si="228"/>
        <v>0</v>
      </c>
      <c r="O308" s="135">
        <f t="shared" si="228"/>
        <v>0</v>
      </c>
      <c r="P308" s="135">
        <f t="shared" si="221"/>
        <v>0</v>
      </c>
      <c r="Q308" s="209">
        <f t="shared" si="222"/>
        <v>0</v>
      </c>
    </row>
    <row r="309" spans="3:17">
      <c r="C309" s="695" t="str">
        <f>CONCATENATE("Trans.Gains windows ",L13)</f>
        <v>Trans.Gains windows wall 1</v>
      </c>
      <c r="D309" s="135">
        <f>IF(D$113=0,0,$L$29*D$45/1000)</f>
        <v>0</v>
      </c>
      <c r="E309" s="135">
        <f t="shared" ref="E309:O309" si="229">IF(E$113=0,0,$L$29*E$45/1000)</f>
        <v>0</v>
      </c>
      <c r="F309" s="135">
        <f t="shared" si="229"/>
        <v>0</v>
      </c>
      <c r="G309" s="135">
        <f t="shared" si="229"/>
        <v>0</v>
      </c>
      <c r="H309" s="135">
        <f t="shared" si="229"/>
        <v>0</v>
      </c>
      <c r="I309" s="135">
        <f t="shared" si="229"/>
        <v>0</v>
      </c>
      <c r="J309" s="135">
        <f t="shared" si="229"/>
        <v>0</v>
      </c>
      <c r="K309" s="135">
        <f t="shared" si="229"/>
        <v>0</v>
      </c>
      <c r="L309" s="135">
        <f t="shared" si="229"/>
        <v>0</v>
      </c>
      <c r="M309" s="135">
        <f t="shared" si="229"/>
        <v>0</v>
      </c>
      <c r="N309" s="135">
        <f t="shared" si="229"/>
        <v>0</v>
      </c>
      <c r="O309" s="135">
        <f t="shared" si="229"/>
        <v>0</v>
      </c>
      <c r="P309" s="135">
        <f t="shared" si="221"/>
        <v>0</v>
      </c>
      <c r="Q309" s="209">
        <f t="shared" si="222"/>
        <v>0</v>
      </c>
    </row>
    <row r="310" spans="3:17">
      <c r="C310" s="695" t="str">
        <f>CONCATENATE("Trans.Gains windows ",M13)</f>
        <v>Trans.Gains windows wall 2</v>
      </c>
      <c r="D310" s="135">
        <f t="shared" ref="D310:O310" si="230">IF(D$113=0,0,$M$29*D$45/1000)</f>
        <v>0</v>
      </c>
      <c r="E310" s="135">
        <f t="shared" si="230"/>
        <v>0</v>
      </c>
      <c r="F310" s="135">
        <f t="shared" si="230"/>
        <v>0</v>
      </c>
      <c r="G310" s="135">
        <f t="shared" si="230"/>
        <v>0</v>
      </c>
      <c r="H310" s="135">
        <f t="shared" si="230"/>
        <v>0</v>
      </c>
      <c r="I310" s="135">
        <f t="shared" si="230"/>
        <v>0</v>
      </c>
      <c r="J310" s="135">
        <f t="shared" si="230"/>
        <v>0</v>
      </c>
      <c r="K310" s="135">
        <f t="shared" si="230"/>
        <v>0</v>
      </c>
      <c r="L310" s="135">
        <f t="shared" si="230"/>
        <v>0</v>
      </c>
      <c r="M310" s="135">
        <f t="shared" si="230"/>
        <v>0</v>
      </c>
      <c r="N310" s="135">
        <f t="shared" si="230"/>
        <v>0</v>
      </c>
      <c r="O310" s="135">
        <f t="shared" si="230"/>
        <v>0</v>
      </c>
      <c r="P310" s="135">
        <f t="shared" si="221"/>
        <v>0</v>
      </c>
      <c r="Q310" s="209">
        <f t="shared" si="222"/>
        <v>0</v>
      </c>
    </row>
    <row r="311" spans="3:17">
      <c r="C311" s="695" t="str">
        <f>CONCATENATE("Trans.Gains windows ",N13)</f>
        <v>Trans.Gains windows wall 3</v>
      </c>
      <c r="D311" s="135">
        <f>IF(D$113=0,0,$N$29*D$45/1000)</f>
        <v>0</v>
      </c>
      <c r="E311" s="135">
        <f t="shared" ref="E311:O311" si="231">IF(E$113=0,0,$N$29*E$45/1000)</f>
        <v>0</v>
      </c>
      <c r="F311" s="135">
        <f t="shared" si="231"/>
        <v>0</v>
      </c>
      <c r="G311" s="135">
        <f t="shared" si="231"/>
        <v>0</v>
      </c>
      <c r="H311" s="135">
        <f t="shared" si="231"/>
        <v>0</v>
      </c>
      <c r="I311" s="135">
        <f t="shared" si="231"/>
        <v>0</v>
      </c>
      <c r="J311" s="135">
        <f t="shared" si="231"/>
        <v>0</v>
      </c>
      <c r="K311" s="135">
        <f t="shared" si="231"/>
        <v>0</v>
      </c>
      <c r="L311" s="135">
        <f t="shared" si="231"/>
        <v>0</v>
      </c>
      <c r="M311" s="135">
        <f t="shared" si="231"/>
        <v>0</v>
      </c>
      <c r="N311" s="135">
        <f t="shared" si="231"/>
        <v>0</v>
      </c>
      <c r="O311" s="135">
        <f t="shared" si="231"/>
        <v>0</v>
      </c>
      <c r="P311" s="135">
        <f t="shared" si="221"/>
        <v>0</v>
      </c>
      <c r="Q311" s="209">
        <f t="shared" si="222"/>
        <v>0</v>
      </c>
    </row>
    <row r="312" spans="3:17">
      <c r="C312" s="695" t="str">
        <f>CONCATENATE("Trans.Gains windows ",O13)</f>
        <v>Trans.Gains windows wall 4</v>
      </c>
      <c r="D312" s="135">
        <f>IF(D$113=0,0,$O$29*D$45/1000)</f>
        <v>0</v>
      </c>
      <c r="E312" s="135">
        <f t="shared" ref="E312:O312" si="232">IF(E$113=0,0,$O$29*E$45/1000)</f>
        <v>0</v>
      </c>
      <c r="F312" s="135">
        <f t="shared" si="232"/>
        <v>0</v>
      </c>
      <c r="G312" s="135">
        <f t="shared" si="232"/>
        <v>0</v>
      </c>
      <c r="H312" s="135">
        <f t="shared" si="232"/>
        <v>0</v>
      </c>
      <c r="I312" s="135">
        <f t="shared" si="232"/>
        <v>0</v>
      </c>
      <c r="J312" s="135">
        <f t="shared" si="232"/>
        <v>0</v>
      </c>
      <c r="K312" s="135">
        <f t="shared" si="232"/>
        <v>0</v>
      </c>
      <c r="L312" s="135">
        <f t="shared" si="232"/>
        <v>0</v>
      </c>
      <c r="M312" s="135">
        <f t="shared" si="232"/>
        <v>0</v>
      </c>
      <c r="N312" s="135">
        <f t="shared" si="232"/>
        <v>0</v>
      </c>
      <c r="O312" s="135">
        <f t="shared" si="232"/>
        <v>0</v>
      </c>
      <c r="P312" s="135">
        <f t="shared" si="221"/>
        <v>0</v>
      </c>
      <c r="Q312" s="209">
        <f t="shared" si="222"/>
        <v>0</v>
      </c>
    </row>
    <row r="313" spans="3:17">
      <c r="C313" s="708" t="s">
        <v>33</v>
      </c>
      <c r="D313" s="699">
        <f>SUM(D301:D312)</f>
        <v>0</v>
      </c>
      <c r="E313" s="699">
        <f t="shared" ref="E313:O313" si="233">SUM(E301:E312)</f>
        <v>0</v>
      </c>
      <c r="F313" s="699">
        <f t="shared" si="233"/>
        <v>0</v>
      </c>
      <c r="G313" s="699">
        <f t="shared" si="233"/>
        <v>0</v>
      </c>
      <c r="H313" s="699">
        <f t="shared" si="233"/>
        <v>0</v>
      </c>
      <c r="I313" s="699">
        <f t="shared" si="233"/>
        <v>9.4488114000000003</v>
      </c>
      <c r="J313" s="699">
        <f t="shared" si="233"/>
        <v>105.358428</v>
      </c>
      <c r="K313" s="699">
        <f t="shared" si="233"/>
        <v>125.84478900000006</v>
      </c>
      <c r="L313" s="699">
        <f t="shared" si="233"/>
        <v>56.525632800000011</v>
      </c>
      <c r="M313" s="699">
        <f t="shared" si="233"/>
        <v>0</v>
      </c>
      <c r="N313" s="699">
        <f t="shared" si="233"/>
        <v>0</v>
      </c>
      <c r="O313" s="699">
        <f t="shared" si="233"/>
        <v>0</v>
      </c>
      <c r="P313" s="699">
        <f t="shared" si="221"/>
        <v>297.1776612000001</v>
      </c>
      <c r="Q313" s="388">
        <f t="shared" si="222"/>
        <v>0.18778999127962093</v>
      </c>
    </row>
    <row r="314" spans="3:17">
      <c r="C314" s="708" t="s">
        <v>915</v>
      </c>
      <c r="D314" s="699">
        <f>D313-D155</f>
        <v>0</v>
      </c>
      <c r="E314" s="699">
        <f t="shared" ref="E314:O314" si="234">E313-E155</f>
        <v>0</v>
      </c>
      <c r="F314" s="699">
        <f t="shared" si="234"/>
        <v>0</v>
      </c>
      <c r="G314" s="699">
        <f t="shared" si="234"/>
        <v>0</v>
      </c>
      <c r="H314" s="699">
        <f t="shared" si="234"/>
        <v>0</v>
      </c>
      <c r="I314" s="699">
        <f t="shared" si="234"/>
        <v>0</v>
      </c>
      <c r="J314" s="699">
        <f t="shared" si="234"/>
        <v>0</v>
      </c>
      <c r="K314" s="699">
        <f t="shared" si="234"/>
        <v>0</v>
      </c>
      <c r="L314" s="699">
        <f t="shared" si="234"/>
        <v>0</v>
      </c>
      <c r="M314" s="699">
        <f t="shared" si="234"/>
        <v>0</v>
      </c>
      <c r="N314" s="699">
        <f t="shared" si="234"/>
        <v>0</v>
      </c>
      <c r="O314" s="699">
        <f t="shared" si="234"/>
        <v>0</v>
      </c>
      <c r="P314" s="472"/>
      <c r="Q314" s="472"/>
    </row>
  </sheetData>
  <sheetProtection password="D60A" sheet="1" objects="1" scenarios="1"/>
  <dataValidations disablePrompts="1" count="1">
    <dataValidation type="decimal" errorStyle="warning" showInputMessage="1" showErrorMessage="1" error="El valor ha d'estar entre 100 i 500" prompt="Escollir un valor 100 = molt baixa; 150 = baixa; 400 = alta ;mes de 400 molt alta" sqref="D4">
      <formula1>100</formula1>
      <formula2>500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37" zoomScale="70" zoomScaleNormal="70" workbookViewId="0">
      <selection activeCell="U23" sqref="U23"/>
    </sheetView>
  </sheetViews>
  <sheetFormatPr baseColWidth="10" defaultColWidth="11.42578125" defaultRowHeight="12.75"/>
  <cols>
    <col min="1" max="1" width="27.85546875" style="402" bestFit="1" customWidth="1"/>
    <col min="2" max="13" width="11.42578125" style="398"/>
    <col min="14" max="16384" width="11.42578125" style="1"/>
  </cols>
  <sheetData>
    <row r="1" spans="1:21" ht="16.5" thickBot="1">
      <c r="A1" s="804" t="s">
        <v>359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</row>
    <row r="2" spans="1:21" ht="15.75" thickBot="1">
      <c r="A2" s="389" t="s">
        <v>353</v>
      </c>
      <c r="B2" s="390" t="s">
        <v>13</v>
      </c>
      <c r="C2" s="391" t="s">
        <v>38</v>
      </c>
      <c r="D2" s="391" t="s">
        <v>39</v>
      </c>
      <c r="E2" s="391" t="s">
        <v>40</v>
      </c>
      <c r="F2" s="391" t="s">
        <v>41</v>
      </c>
      <c r="G2" s="391" t="s">
        <v>42</v>
      </c>
      <c r="H2" s="391" t="s">
        <v>43</v>
      </c>
      <c r="I2" s="391" t="s">
        <v>19</v>
      </c>
      <c r="J2" s="391" t="s">
        <v>44</v>
      </c>
      <c r="K2" s="391" t="s">
        <v>45</v>
      </c>
      <c r="L2" s="391" t="s">
        <v>46</v>
      </c>
      <c r="M2" s="404" t="s">
        <v>47</v>
      </c>
      <c r="N2" s="434" t="s">
        <v>358</v>
      </c>
      <c r="O2" s="439" t="s">
        <v>360</v>
      </c>
    </row>
    <row r="3" spans="1:21" ht="14.25">
      <c r="A3" s="406" t="str">
        <f>INDEX(S3:U3,DATA!$G$4)</f>
        <v>Perdidas Trans (ventanas)</v>
      </c>
      <c r="B3" s="407">
        <f>CalculationBefore!D164</f>
        <v>2.0048721550710922</v>
      </c>
      <c r="C3" s="408">
        <f>CalculationBefore!E164</f>
        <v>1.6785910081516586</v>
      </c>
      <c r="D3" s="408">
        <f>CalculationBefore!F164</f>
        <v>1.5646700117535532</v>
      </c>
      <c r="E3" s="408">
        <f>CalculationBefore!G164</f>
        <v>1.1837268654028452</v>
      </c>
      <c r="F3" s="408">
        <f>CalculationBefore!H164</f>
        <v>0.67618135014217962</v>
      </c>
      <c r="G3" s="408">
        <f>CalculationBefore!I164</f>
        <v>0</v>
      </c>
      <c r="H3" s="408">
        <f>CalculationBefore!J164</f>
        <v>0</v>
      </c>
      <c r="I3" s="408">
        <f>CalculationBefore!K164</f>
        <v>0</v>
      </c>
      <c r="J3" s="408">
        <f>CalculationBefore!L164</f>
        <v>0</v>
      </c>
      <c r="K3" s="408">
        <f>CalculationBefore!M164</f>
        <v>0.51610544170616124</v>
      </c>
      <c r="L3" s="408">
        <f>CalculationBefore!N164</f>
        <v>1.2454957173459715</v>
      </c>
      <c r="M3" s="409">
        <f>CalculationBefore!O164</f>
        <v>1.8428412017061608</v>
      </c>
      <c r="N3" s="435">
        <f>SUM(B3:M3)/SUM($B$13:$M$13)</f>
        <v>0.10197358983713148</v>
      </c>
      <c r="O3" s="440">
        <f>SUM(B3:M3)</f>
        <v>10.712483751279622</v>
      </c>
      <c r="S3" s="406" t="s">
        <v>349</v>
      </c>
      <c r="T3" s="406" t="s">
        <v>1245</v>
      </c>
      <c r="U3" s="406" t="s">
        <v>1260</v>
      </c>
    </row>
    <row r="4" spans="1:21" ht="14.25">
      <c r="A4" s="406" t="str">
        <f>INDEX(S4:U4,DATA!$G$4)</f>
        <v>Perdidas Trans (opacos)</v>
      </c>
      <c r="B4" s="411">
        <f>CalculationBefore!D165</f>
        <v>15.781506712164317</v>
      </c>
      <c r="C4" s="412">
        <f>CalculationBefore!E165</f>
        <v>13.213159350394946</v>
      </c>
      <c r="D4" s="412">
        <f>CalculationBefore!F165</f>
        <v>12.316421388941539</v>
      </c>
      <c r="E4" s="412">
        <f>CalculationBefore!G165</f>
        <v>9.3177978578199205</v>
      </c>
      <c r="F4" s="412">
        <f>CalculationBefore!H165</f>
        <v>5.3226139576619245</v>
      </c>
      <c r="G4" s="412">
        <f>CalculationBefore!I165</f>
        <v>0</v>
      </c>
      <c r="H4" s="412">
        <f>CalculationBefore!J165</f>
        <v>0</v>
      </c>
      <c r="I4" s="412">
        <f>CalculationBefore!K165</f>
        <v>0</v>
      </c>
      <c r="J4" s="412">
        <f>CalculationBefore!L165</f>
        <v>0</v>
      </c>
      <c r="K4" s="412">
        <f>CalculationBefore!M165</f>
        <v>4.0625640252764619</v>
      </c>
      <c r="L4" s="412">
        <f>CalculationBefore!N165</f>
        <v>9.8040161680884701</v>
      </c>
      <c r="M4" s="413">
        <f>CalculationBefore!O165</f>
        <v>14.50606749194313</v>
      </c>
      <c r="N4" s="436">
        <f t="shared" ref="N4:N12" si="0">SUM(B4:M4)/SUM($B$13:$M$13)</f>
        <v>0.80269302379588181</v>
      </c>
      <c r="O4" s="441">
        <f t="shared" ref="O4:O13" si="1">SUM(B4:M4)</f>
        <v>84.32414695229069</v>
      </c>
      <c r="S4" s="410" t="s">
        <v>350</v>
      </c>
      <c r="T4" s="410" t="s">
        <v>1259</v>
      </c>
      <c r="U4" s="410" t="s">
        <v>1261</v>
      </c>
    </row>
    <row r="5" spans="1:21" ht="14.25">
      <c r="A5" s="406" t="str">
        <f>INDEX(S5:U5,DATA!$G$4)</f>
        <v>Perdidas Suelo</v>
      </c>
      <c r="B5" s="411">
        <f>CalculationBefore!D166</f>
        <v>3.1720022748815171</v>
      </c>
      <c r="C5" s="412">
        <f>CalculationBefore!E166</f>
        <v>2.5207749763033176</v>
      </c>
      <c r="D5" s="412">
        <f>CalculationBefore!F166</f>
        <v>2.050619146919431</v>
      </c>
      <c r="E5" s="412">
        <f>CalculationBefore!G166</f>
        <v>1.3046900473933647</v>
      </c>
      <c r="F5" s="412">
        <f>CalculationBefore!H166</f>
        <v>2.2049668246445588E-2</v>
      </c>
      <c r="G5" s="412">
        <f>CalculationBefore!I166</f>
        <v>0</v>
      </c>
      <c r="H5" s="412">
        <f>CalculationBefore!J166</f>
        <v>0</v>
      </c>
      <c r="I5" s="412">
        <f>CalculationBefore!K166</f>
        <v>0</v>
      </c>
      <c r="J5" s="412">
        <f>CalculationBefore!L166</f>
        <v>0</v>
      </c>
      <c r="K5" s="412">
        <f>CalculationBefore!M166</f>
        <v>1.3229800947867296</v>
      </c>
      <c r="L5" s="412">
        <f>CalculationBefore!N166</f>
        <v>2.2527241706161143</v>
      </c>
      <c r="M5" s="413">
        <f>CalculationBefore!O166</f>
        <v>2.9924549763033177</v>
      </c>
      <c r="N5" s="436">
        <f t="shared" si="0"/>
        <v>0.14886306045860859</v>
      </c>
      <c r="O5" s="441">
        <f t="shared" si="1"/>
        <v>15.638295355450236</v>
      </c>
      <c r="S5" s="410" t="s">
        <v>286</v>
      </c>
      <c r="T5" s="410" t="s">
        <v>1246</v>
      </c>
      <c r="U5" s="410" t="s">
        <v>1262</v>
      </c>
    </row>
    <row r="6" spans="1:21" ht="14.25">
      <c r="A6" s="406" t="str">
        <f>INDEX(S6:U6,DATA!$G$4)</f>
        <v>Perdidas Ventilación</v>
      </c>
      <c r="B6" s="411">
        <f>CalculationBefore!D167</f>
        <v>3.483167400000005</v>
      </c>
      <c r="C6" s="412">
        <f>CalculationBefore!E167</f>
        <v>2.9163024000000006</v>
      </c>
      <c r="D6" s="412">
        <f>CalculationBefore!F167</f>
        <v>2.7183815999999981</v>
      </c>
      <c r="E6" s="412">
        <f>CalculationBefore!G167</f>
        <v>2.0565495000000031</v>
      </c>
      <c r="F6" s="412">
        <f>CalculationBefore!H167</f>
        <v>1.1747645999999996</v>
      </c>
      <c r="G6" s="412">
        <f>CalculationBefore!I167</f>
        <v>0</v>
      </c>
      <c r="H6" s="412">
        <f>CalculationBefore!J167</f>
        <v>0</v>
      </c>
      <c r="I6" s="412">
        <f>CalculationBefore!K167</f>
        <v>0</v>
      </c>
      <c r="J6" s="412">
        <f>CalculationBefore!L167</f>
        <v>0</v>
      </c>
      <c r="K6" s="412">
        <f>CalculationBefore!M167</f>
        <v>0.8966565000000003</v>
      </c>
      <c r="L6" s="412">
        <f>CalculationBefore!N167</f>
        <v>2.1638637000000007</v>
      </c>
      <c r="M6" s="413">
        <f>CalculationBefore!O167</f>
        <v>3.2016627</v>
      </c>
      <c r="N6" s="436">
        <f t="shared" si="0"/>
        <v>0.17716395675567309</v>
      </c>
      <c r="O6" s="441">
        <f t="shared" si="1"/>
        <v>18.611348400000004</v>
      </c>
      <c r="S6" s="410" t="s">
        <v>287</v>
      </c>
      <c r="T6" s="410" t="s">
        <v>1247</v>
      </c>
      <c r="U6" s="410" t="s">
        <v>1263</v>
      </c>
    </row>
    <row r="7" spans="1:21" ht="14.25">
      <c r="A7" s="406" t="str">
        <f>INDEX(S7:U7,DATA!$G$4)</f>
        <v>Ganancias Solares</v>
      </c>
      <c r="B7" s="415">
        <f>CalculationBefore!D168</f>
        <v>-1.3744923203201322</v>
      </c>
      <c r="C7" s="416">
        <f>CalculationBefore!E168</f>
        <v>-1.6480572567094447</v>
      </c>
      <c r="D7" s="416">
        <f>CalculationBefore!F168</f>
        <v>-2.2467562669178989</v>
      </c>
      <c r="E7" s="416">
        <f>CalculationBefore!G168</f>
        <v>-2.4710438852341419</v>
      </c>
      <c r="F7" s="416">
        <f>CalculationBefore!H168</f>
        <v>-2.1619177466087285</v>
      </c>
      <c r="G7" s="416">
        <f>CalculationBefore!I168</f>
        <v>0</v>
      </c>
      <c r="H7" s="416">
        <f>CalculationBefore!J168</f>
        <v>0</v>
      </c>
      <c r="I7" s="416">
        <f>CalculationBefore!K168</f>
        <v>0</v>
      </c>
      <c r="J7" s="416">
        <f>CalculationBefore!L168</f>
        <v>0</v>
      </c>
      <c r="K7" s="416">
        <f>CalculationBefore!M168</f>
        <v>-1.3224750250699282</v>
      </c>
      <c r="L7" s="416">
        <f>CalculationBefore!N168</f>
        <v>-1.3629642450743358</v>
      </c>
      <c r="M7" s="417">
        <f>CalculationBefore!O168</f>
        <v>-1.2581071054127173</v>
      </c>
      <c r="N7" s="437">
        <f t="shared" si="0"/>
        <v>-0.13180018522501016</v>
      </c>
      <c r="O7" s="442">
        <f t="shared" si="1"/>
        <v>-13.845813851347327</v>
      </c>
      <c r="S7" s="414" t="s">
        <v>288</v>
      </c>
      <c r="T7" s="414" t="s">
        <v>1248</v>
      </c>
      <c r="U7" s="414" t="s">
        <v>912</v>
      </c>
    </row>
    <row r="8" spans="1:21" ht="14.25">
      <c r="A8" s="406" t="str">
        <f>INDEX(S8:U8,DATA!$G$4)</f>
        <v>Ganancias Internas</v>
      </c>
      <c r="B8" s="415">
        <f>CalculationBefore!D169</f>
        <v>-1.3241762758261277</v>
      </c>
      <c r="C8" s="416">
        <f>CalculationBefore!E169</f>
        <v>-1.1588450644283688</v>
      </c>
      <c r="D8" s="416">
        <f>CalculationBefore!F169</f>
        <v>-1.2113927949721586</v>
      </c>
      <c r="E8" s="416">
        <f>CalculationBefore!G169</f>
        <v>-1.0625274401556881</v>
      </c>
      <c r="F8" s="416">
        <f>CalculationBefore!H169</f>
        <v>-0.7897052355214913</v>
      </c>
      <c r="G8" s="416">
        <f>CalculationBefore!I169</f>
        <v>0</v>
      </c>
      <c r="H8" s="416">
        <f>CalculationBefore!J169</f>
        <v>0</v>
      </c>
      <c r="I8" s="416">
        <f>CalculationBefore!K169</f>
        <v>0</v>
      </c>
      <c r="J8" s="416">
        <f>CalculationBefore!L169</f>
        <v>0</v>
      </c>
      <c r="K8" s="416">
        <f>CalculationBefore!M169</f>
        <v>-0.8333644617770698</v>
      </c>
      <c r="L8" s="416">
        <f>CalculationBefore!N169</f>
        <v>-1.1987137244220882</v>
      </c>
      <c r="M8" s="417">
        <f>CalculationBefore!O169</f>
        <v>-1.3165435700242643</v>
      </c>
      <c r="N8" s="437">
        <f t="shared" si="0"/>
        <v>-8.4675271339105712E-2</v>
      </c>
      <c r="O8" s="442">
        <f t="shared" si="1"/>
        <v>-8.8952685671272551</v>
      </c>
      <c r="S8" s="414" t="s">
        <v>1252</v>
      </c>
      <c r="T8" s="414" t="s">
        <v>213</v>
      </c>
      <c r="U8" s="414" t="s">
        <v>1254</v>
      </c>
    </row>
    <row r="9" spans="1:21" ht="14.25">
      <c r="A9" s="406" t="str">
        <f>INDEX(S9:U9,DATA!$G$4)</f>
        <v>Ganancias Trans (ventanas)</v>
      </c>
      <c r="B9" s="415">
        <f>CalculationBefore!D171</f>
        <v>-4.7021652736063956E-4</v>
      </c>
      <c r="C9" s="416">
        <f>CalculationBefore!E171</f>
        <v>-5.4671673904512744E-4</v>
      </c>
      <c r="D9" s="416">
        <f>CalculationBefore!F171</f>
        <v>-2.0648015176358944E-3</v>
      </c>
      <c r="E9" s="416">
        <f>CalculationBefore!G171</f>
        <v>-1.0546295852889376E-2</v>
      </c>
      <c r="F9" s="416">
        <f>CalculationBefore!H171</f>
        <v>-4.0745787759844859E-2</v>
      </c>
      <c r="G9" s="416">
        <f>CalculationBefore!I171</f>
        <v>0</v>
      </c>
      <c r="H9" s="416">
        <f>CalculationBefore!J171</f>
        <v>0</v>
      </c>
      <c r="I9" s="416">
        <f>CalculationBefore!K171</f>
        <v>0</v>
      </c>
      <c r="J9" s="416">
        <f>CalculationBefore!L171</f>
        <v>0</v>
      </c>
      <c r="K9" s="416">
        <f>CalculationBefore!M171</f>
        <v>-7.9338480292431249E-2</v>
      </c>
      <c r="L9" s="416">
        <f>CalculationBefore!N171</f>
        <v>-3.7827396805662568E-3</v>
      </c>
      <c r="M9" s="417">
        <f>CalculationBefore!O171</f>
        <v>-3.29591832014092E-3</v>
      </c>
      <c r="N9" s="437">
        <f t="shared" si="0"/>
        <v>-1.3402082657590687E-3</v>
      </c>
      <c r="O9" s="442">
        <f t="shared" si="1"/>
        <v>-0.14079095668991432</v>
      </c>
      <c r="S9" s="414" t="s">
        <v>351</v>
      </c>
      <c r="T9" s="414" t="s">
        <v>1249</v>
      </c>
      <c r="U9" s="414" t="s">
        <v>1255</v>
      </c>
    </row>
    <row r="10" spans="1:21" ht="14.25">
      <c r="A10" s="406" t="str">
        <f>INDEX(S10:U10,DATA!$G$4)</f>
        <v>Ganancias Trans (opacos)</v>
      </c>
      <c r="B10" s="415">
        <f>CalculationBefore!D172</f>
        <v>-3.7013458758169012E-3</v>
      </c>
      <c r="C10" s="416">
        <f>CalculationBefore!E172</f>
        <v>-4.3035232271891764E-3</v>
      </c>
      <c r="D10" s="416">
        <f>CalculationBefore!F172</f>
        <v>-1.6253245339078719E-2</v>
      </c>
      <c r="E10" s="416">
        <f>CalculationBefore!G172</f>
        <v>-8.3015986016795454E-2</v>
      </c>
      <c r="F10" s="416">
        <f>CalculationBefore!H172</f>
        <v>-0.32073362952243334</v>
      </c>
      <c r="G10" s="416">
        <f>CalculationBefore!I172</f>
        <v>0</v>
      </c>
      <c r="H10" s="416">
        <f>CalculationBefore!J172</f>
        <v>0</v>
      </c>
      <c r="I10" s="416">
        <f>CalculationBefore!K172</f>
        <v>0</v>
      </c>
      <c r="J10" s="416">
        <f>CalculationBefore!L172</f>
        <v>0</v>
      </c>
      <c r="K10" s="416">
        <f>CalculationBefore!M172</f>
        <v>-0.62451900292042395</v>
      </c>
      <c r="L10" s="416">
        <f>CalculationBefore!N172</f>
        <v>-2.9776128870975232E-2</v>
      </c>
      <c r="M10" s="417">
        <f>CalculationBefore!O172</f>
        <v>-2.5944076763440727E-2</v>
      </c>
      <c r="N10" s="437">
        <f t="shared" si="0"/>
        <v>-1.0549553340983406E-2</v>
      </c>
      <c r="O10" s="442">
        <f t="shared" si="1"/>
        <v>-1.1082469385361535</v>
      </c>
      <c r="S10" s="414" t="s">
        <v>483</v>
      </c>
      <c r="T10" s="414" t="s">
        <v>1250</v>
      </c>
      <c r="U10" s="414" t="s">
        <v>1256</v>
      </c>
    </row>
    <row r="11" spans="1:21" ht="14.25">
      <c r="A11" s="406" t="str">
        <f>INDEX(S11:U11,DATA!$G$4)</f>
        <v>Ganancias Suelo</v>
      </c>
      <c r="B11" s="415">
        <f>CalculationBefore!D173</f>
        <v>0</v>
      </c>
      <c r="C11" s="416">
        <f>CalculationBefore!E173</f>
        <v>0</v>
      </c>
      <c r="D11" s="416">
        <f>CalculationBefore!F173</f>
        <v>0</v>
      </c>
      <c r="E11" s="416">
        <f>CalculationBefore!G173</f>
        <v>0</v>
      </c>
      <c r="F11" s="416">
        <f>CalculationBefore!H173</f>
        <v>0</v>
      </c>
      <c r="G11" s="416">
        <f>CalculationBefore!I173</f>
        <v>0</v>
      </c>
      <c r="H11" s="416">
        <f>CalculationBefore!J173</f>
        <v>0</v>
      </c>
      <c r="I11" s="416">
        <f>CalculationBefore!K173</f>
        <v>0</v>
      </c>
      <c r="J11" s="416">
        <f>CalculationBefore!L173</f>
        <v>0</v>
      </c>
      <c r="K11" s="416">
        <f>CalculationBefore!M173</f>
        <v>0</v>
      </c>
      <c r="L11" s="416">
        <f>CalculationBefore!N173</f>
        <v>0</v>
      </c>
      <c r="M11" s="417">
        <f>CalculationBefore!O173</f>
        <v>0</v>
      </c>
      <c r="N11" s="437">
        <f t="shared" si="0"/>
        <v>0</v>
      </c>
      <c r="O11" s="442">
        <f t="shared" si="1"/>
        <v>0</v>
      </c>
      <c r="S11" s="414" t="s">
        <v>290</v>
      </c>
      <c r="T11" s="414" t="s">
        <v>1251</v>
      </c>
      <c r="U11" s="414" t="s">
        <v>1257</v>
      </c>
    </row>
    <row r="12" spans="1:21" ht="15" thickBot="1">
      <c r="A12" s="406" t="str">
        <f>INDEX(S12:U12,DATA!$G$4)</f>
        <v>Ganancias Ventilación</v>
      </c>
      <c r="B12" s="419">
        <f>CalculationBefore!D174</f>
        <v>-8.1693133145724827E-4</v>
      </c>
      <c r="C12" s="420">
        <f>CalculationBefore!E174</f>
        <v>-9.4983907959396625E-4</v>
      </c>
      <c r="D12" s="420">
        <f>CalculationBefore!F174</f>
        <v>-3.5872857605949719E-3</v>
      </c>
      <c r="E12" s="420">
        <f>CalculationBefore!G174</f>
        <v>-1.8322621625834753E-2</v>
      </c>
      <c r="F12" s="420">
        <f>CalculationBefore!H174</f>
        <v>-7.0789750485301256E-2</v>
      </c>
      <c r="G12" s="420">
        <f>CalculationBefore!I174</f>
        <v>0</v>
      </c>
      <c r="H12" s="420">
        <f>CalculationBefore!J174</f>
        <v>0</v>
      </c>
      <c r="I12" s="420">
        <f>CalculationBefore!K174</f>
        <v>0</v>
      </c>
      <c r="J12" s="420">
        <f>CalculationBefore!L174</f>
        <v>0</v>
      </c>
      <c r="K12" s="420">
        <f>CalculationBefore!M174</f>
        <v>-0.13783881801198444</v>
      </c>
      <c r="L12" s="420">
        <f>CalculationBefore!N174</f>
        <v>-6.571947994144095E-3</v>
      </c>
      <c r="M12" s="421">
        <f>CalculationBefore!O174</f>
        <v>-5.7261682330914231E-3</v>
      </c>
      <c r="N12" s="438">
        <f t="shared" si="0"/>
        <v>-2.3284126764367167E-3</v>
      </c>
      <c r="O12" s="443">
        <f t="shared" si="1"/>
        <v>-0.24460336252200213</v>
      </c>
      <c r="S12" s="418" t="s">
        <v>291</v>
      </c>
      <c r="T12" s="418" t="s">
        <v>1253</v>
      </c>
      <c r="U12" s="418" t="s">
        <v>1258</v>
      </c>
    </row>
    <row r="13" spans="1:21" ht="15.75" thickBot="1">
      <c r="A13" s="392" t="s">
        <v>33</v>
      </c>
      <c r="B13" s="394">
        <f>CalculationBefore!D175</f>
        <v>21.737891452236035</v>
      </c>
      <c r="C13" s="395">
        <f>CalculationBefore!E175</f>
        <v>17.516125334666278</v>
      </c>
      <c r="D13" s="395">
        <f>CalculationBefore!F175</f>
        <v>15.170037753107154</v>
      </c>
      <c r="E13" s="395">
        <f>CalculationBefore!G175</f>
        <v>10.217308041730782</v>
      </c>
      <c r="F13" s="395">
        <f>CalculationBefore!H175</f>
        <v>3.8117174261527484</v>
      </c>
      <c r="G13" s="395">
        <f>CalculationBefore!I175</f>
        <v>0</v>
      </c>
      <c r="H13" s="395">
        <f>CalculationBefore!J175</f>
        <v>0</v>
      </c>
      <c r="I13" s="395">
        <f>CalculationBefore!K175</f>
        <v>0</v>
      </c>
      <c r="J13" s="395">
        <f>CalculationBefore!L175</f>
        <v>0</v>
      </c>
      <c r="K13" s="395">
        <f>CalculationBefore!M175</f>
        <v>3.8007702736975153</v>
      </c>
      <c r="L13" s="395">
        <f>CalculationBefore!N175</f>
        <v>12.864290970008444</v>
      </c>
      <c r="M13" s="396">
        <f>CalculationBefore!O175</f>
        <v>19.933409531198951</v>
      </c>
      <c r="O13" s="444">
        <f t="shared" si="1"/>
        <v>105.0515507827979</v>
      </c>
    </row>
    <row r="14" spans="1:21" ht="13.5" thickBot="1">
      <c r="A14" s="397"/>
    </row>
    <row r="15" spans="1:21" ht="15.75" thickBot="1">
      <c r="A15" s="389" t="s">
        <v>354</v>
      </c>
      <c r="B15" s="390" t="s">
        <v>13</v>
      </c>
      <c r="C15" s="391" t="s">
        <v>38</v>
      </c>
      <c r="D15" s="391" t="s">
        <v>39</v>
      </c>
      <c r="E15" s="391" t="s">
        <v>40</v>
      </c>
      <c r="F15" s="391" t="s">
        <v>41</v>
      </c>
      <c r="G15" s="391" t="s">
        <v>42</v>
      </c>
      <c r="H15" s="391" t="s">
        <v>43</v>
      </c>
      <c r="I15" s="391" t="s">
        <v>19</v>
      </c>
      <c r="J15" s="391" t="s">
        <v>44</v>
      </c>
      <c r="K15" s="391" t="s">
        <v>45</v>
      </c>
      <c r="L15" s="391" t="s">
        <v>46</v>
      </c>
      <c r="M15" s="404" t="s">
        <v>47</v>
      </c>
      <c r="N15" s="405" t="s">
        <v>358</v>
      </c>
      <c r="O15" s="439" t="s">
        <v>360</v>
      </c>
    </row>
    <row r="16" spans="1:21" ht="14.25">
      <c r="A16" s="406" t="str">
        <f>INDEX(S3:U3,DATA!$G$4)</f>
        <v>Perdidas Trans (ventanas)</v>
      </c>
      <c r="B16" s="429">
        <f>CalculationBefore!D179</f>
        <v>0</v>
      </c>
      <c r="C16" s="430">
        <f>CalculationBefore!E179</f>
        <v>0</v>
      </c>
      <c r="D16" s="430">
        <f>CalculationBefore!F179</f>
        <v>0</v>
      </c>
      <c r="E16" s="430">
        <f>CalculationBefore!G179</f>
        <v>0</v>
      </c>
      <c r="F16" s="430">
        <f>CalculationBefore!H179</f>
        <v>-0.52901913228517816</v>
      </c>
      <c r="G16" s="430">
        <f>CalculationBefore!I179</f>
        <v>-0.46109630833192261</v>
      </c>
      <c r="H16" s="430">
        <f>CalculationBefore!J179</f>
        <v>-0.37079149789089233</v>
      </c>
      <c r="I16" s="430">
        <f>CalculationBefore!K179</f>
        <v>-0.34404662309086187</v>
      </c>
      <c r="J16" s="430">
        <f>CalculationBefore!L179</f>
        <v>-0.34853338540152157</v>
      </c>
      <c r="K16" s="430">
        <f>CalculationBefore!M179</f>
        <v>0</v>
      </c>
      <c r="L16" s="430">
        <f>CalculationBefore!N179</f>
        <v>0</v>
      </c>
      <c r="M16" s="431">
        <f>CalculationBefore!O179</f>
        <v>0</v>
      </c>
      <c r="N16" s="432">
        <f>SUM(B16:M16)/SUM($B$26:$M$26)</f>
        <v>-6.5678407536250497E-2</v>
      </c>
      <c r="O16" s="440">
        <f>SUM(B16:M16)</f>
        <v>-2.0534869470003763</v>
      </c>
    </row>
    <row r="17" spans="1:15" ht="14.25">
      <c r="A17" s="406" t="str">
        <f>INDEX(S4:U4,DATA!$G$4)</f>
        <v>Perdidas Trans (opacos)</v>
      </c>
      <c r="B17" s="415">
        <f>CalculationBefore!D180</f>
        <v>0</v>
      </c>
      <c r="C17" s="416">
        <f>CalculationBefore!E180</f>
        <v>0</v>
      </c>
      <c r="D17" s="416">
        <f>CalculationBefore!F180</f>
        <v>0</v>
      </c>
      <c r="E17" s="416">
        <f>CalculationBefore!G180</f>
        <v>0</v>
      </c>
      <c r="F17" s="416">
        <f>CalculationBefore!H180</f>
        <v>-4.1642151425489953</v>
      </c>
      <c r="G17" s="416">
        <f>CalculationBefore!I180</f>
        <v>-3.6295553641605593</v>
      </c>
      <c r="H17" s="416">
        <f>CalculationBefore!J180</f>
        <v>-2.91871404267724</v>
      </c>
      <c r="I17" s="416">
        <f>CalculationBefore!K180</f>
        <v>-2.708189685747505</v>
      </c>
      <c r="J17" s="416">
        <f>CalculationBefore!L180</f>
        <v>-2.7435075833712812</v>
      </c>
      <c r="K17" s="416">
        <f>CalculationBefore!M180</f>
        <v>0</v>
      </c>
      <c r="L17" s="416">
        <f>CalculationBefore!N180</f>
        <v>0</v>
      </c>
      <c r="M17" s="417">
        <f>CalculationBefore!O180</f>
        <v>0</v>
      </c>
      <c r="N17" s="433">
        <f t="shared" ref="N17:N25" si="2">SUM(B17:M17)/SUM($B$26:$M$26)</f>
        <v>-0.51699268043395341</v>
      </c>
      <c r="O17" s="441">
        <f t="shared" ref="O17:O26" si="3">SUM(B17:M17)</f>
        <v>-16.164181818505583</v>
      </c>
    </row>
    <row r="18" spans="1:15" ht="14.25">
      <c r="A18" s="406" t="str">
        <f>INDEX(S5:U5,DATA!$G$4)</f>
        <v>Perdidas Suelo</v>
      </c>
      <c r="B18" s="415">
        <f>CalculationBefore!D181</f>
        <v>0</v>
      </c>
      <c r="C18" s="416">
        <f>CalculationBefore!E181</f>
        <v>0</v>
      </c>
      <c r="D18" s="416">
        <f>CalculationBefore!F181</f>
        <v>0</v>
      </c>
      <c r="E18" s="416">
        <f>CalculationBefore!G181</f>
        <v>0</v>
      </c>
      <c r="F18" s="416">
        <f>CalculationBefore!H181</f>
        <v>-0.59642250967231436</v>
      </c>
      <c r="G18" s="416">
        <f>CalculationBefore!I181</f>
        <v>-0.56647866806341385</v>
      </c>
      <c r="H18" s="416">
        <f>CalculationBefore!J181</f>
        <v>-0.72487462107343592</v>
      </c>
      <c r="I18" s="416">
        <f>CalculationBefore!K181</f>
        <v>-0.87235248030119639</v>
      </c>
      <c r="J18" s="416">
        <f>CalculationBefore!L181</f>
        <v>-0.86574068535668858</v>
      </c>
      <c r="K18" s="416">
        <f>CalculationBefore!M181</f>
        <v>0</v>
      </c>
      <c r="L18" s="416">
        <f>CalculationBefore!N181</f>
        <v>0</v>
      </c>
      <c r="M18" s="417">
        <f>CalculationBefore!O181</f>
        <v>0</v>
      </c>
      <c r="N18" s="433">
        <f t="shared" si="2"/>
        <v>-0.11596922973831095</v>
      </c>
      <c r="O18" s="441">
        <f t="shared" si="3"/>
        <v>-3.625868964467049</v>
      </c>
    </row>
    <row r="19" spans="1:15" ht="14.25">
      <c r="A19" s="406" t="str">
        <f>INDEX(S6:U6,DATA!$G$4)</f>
        <v>Perdidas Ventilación</v>
      </c>
      <c r="B19" s="415">
        <f>CalculationBefore!D182</f>
        <v>0</v>
      </c>
      <c r="C19" s="416">
        <f>CalculationBefore!E182</f>
        <v>0</v>
      </c>
      <c r="D19" s="416">
        <f>CalculationBefore!F182</f>
        <v>0</v>
      </c>
      <c r="E19" s="416">
        <f>CalculationBefore!G182</f>
        <v>0</v>
      </c>
      <c r="F19" s="416">
        <f>CalculationBefore!H182</f>
        <v>-5.5145527086838575</v>
      </c>
      <c r="G19" s="416">
        <f>CalculationBefore!I182</f>
        <v>-4.8065178381964779</v>
      </c>
      <c r="H19" s="416">
        <f>CalculationBefore!J182</f>
        <v>-3.8651707173964795</v>
      </c>
      <c r="I19" s="416">
        <f>CalculationBefore!K182</f>
        <v>-3.5863792469730376</v>
      </c>
      <c r="J19" s="416">
        <f>CalculationBefore!L182</f>
        <v>-3.633149743054322</v>
      </c>
      <c r="K19" s="416">
        <f>CalculationBefore!M182</f>
        <v>0</v>
      </c>
      <c r="L19" s="416">
        <f>CalculationBefore!N182</f>
        <v>0</v>
      </c>
      <c r="M19" s="417">
        <f>CalculationBefore!O182</f>
        <v>0</v>
      </c>
      <c r="N19" s="433">
        <f t="shared" si="2"/>
        <v>-0.68463883076695309</v>
      </c>
      <c r="O19" s="441">
        <f t="shared" si="3"/>
        <v>-21.405770254304173</v>
      </c>
    </row>
    <row r="20" spans="1:15" ht="14.25">
      <c r="A20" s="406" t="str">
        <f>INDEX(S7:U7,DATA!$G$4)</f>
        <v>Ganancias Solares</v>
      </c>
      <c r="B20" s="411">
        <f>CalculationBefore!D183</f>
        <v>0</v>
      </c>
      <c r="C20" s="412">
        <f>CalculationBefore!E183</f>
        <v>0</v>
      </c>
      <c r="D20" s="412">
        <f>CalculationBefore!F183</f>
        <v>0</v>
      </c>
      <c r="E20" s="412">
        <f>CalculationBefore!G183</f>
        <v>0</v>
      </c>
      <c r="F20" s="412">
        <f>CalculationBefore!H183</f>
        <v>13.251148865934905</v>
      </c>
      <c r="G20" s="412">
        <f>CalculationBefore!I183</f>
        <v>13.815083269970403</v>
      </c>
      <c r="H20" s="412">
        <f>CalculationBefore!J183</f>
        <v>15.000790638636474</v>
      </c>
      <c r="I20" s="412">
        <f>CalculationBefore!K183</f>
        <v>13.14627037793402</v>
      </c>
      <c r="J20" s="412">
        <f>CalculationBefore!L183</f>
        <v>9.9655488173376217</v>
      </c>
      <c r="K20" s="412">
        <f>CalculationBefore!M183</f>
        <v>0</v>
      </c>
      <c r="L20" s="412">
        <f>CalculationBefore!N183</f>
        <v>0</v>
      </c>
      <c r="M20" s="413">
        <f>CalculationBefore!O183</f>
        <v>0</v>
      </c>
      <c r="N20" s="422">
        <f t="shared" si="2"/>
        <v>2.0846699570637637</v>
      </c>
      <c r="O20" s="442">
        <f t="shared" si="3"/>
        <v>65.178841969813419</v>
      </c>
    </row>
    <row r="21" spans="1:15" ht="14.25">
      <c r="A21" s="406" t="str">
        <f>INDEX(S8:U8,DATA!$G$4)</f>
        <v>Ganancias Internas</v>
      </c>
      <c r="B21" s="411">
        <f>CalculationBefore!D184</f>
        <v>0</v>
      </c>
      <c r="C21" s="412">
        <f>CalculationBefore!E184</f>
        <v>0</v>
      </c>
      <c r="D21" s="412">
        <f>CalculationBefore!F184</f>
        <v>0</v>
      </c>
      <c r="E21" s="412">
        <f>CalculationBefore!G184</f>
        <v>0</v>
      </c>
      <c r="F21" s="412">
        <f>CalculationBefore!H184</f>
        <v>1.4880000000000002</v>
      </c>
      <c r="G21" s="412">
        <f>CalculationBefore!I184</f>
        <v>1.4400000000000002</v>
      </c>
      <c r="H21" s="412">
        <f>CalculationBefore!J184</f>
        <v>1.4880000000000002</v>
      </c>
      <c r="I21" s="412">
        <f>CalculationBefore!K184</f>
        <v>1.4880000000000002</v>
      </c>
      <c r="J21" s="412">
        <f>CalculationBefore!L184</f>
        <v>1.4400000000000002</v>
      </c>
      <c r="K21" s="412">
        <f>CalculationBefore!M184</f>
        <v>0</v>
      </c>
      <c r="L21" s="412">
        <f>CalculationBefore!N184</f>
        <v>0</v>
      </c>
      <c r="M21" s="413">
        <f>CalculationBefore!O184</f>
        <v>0</v>
      </c>
      <c r="N21" s="422">
        <f t="shared" si="2"/>
        <v>0.23488935522614515</v>
      </c>
      <c r="O21" s="442">
        <f t="shared" si="3"/>
        <v>7.3440000000000012</v>
      </c>
    </row>
    <row r="22" spans="1:15" ht="14.25">
      <c r="A22" s="406" t="str">
        <f>INDEX(S9:U9,DATA!$G$4)</f>
        <v>Ganancias Trans (ventanas)</v>
      </c>
      <c r="B22" s="411">
        <f>CalculationBefore!D186</f>
        <v>0</v>
      </c>
      <c r="C22" s="412">
        <f>CalculationBefore!E186</f>
        <v>0</v>
      </c>
      <c r="D22" s="412">
        <f>CalculationBefore!F186</f>
        <v>0</v>
      </c>
      <c r="E22" s="412">
        <f>CalculationBefore!G186</f>
        <v>0</v>
      </c>
      <c r="F22" s="412">
        <f>CalculationBefore!H186</f>
        <v>0</v>
      </c>
      <c r="G22" s="412">
        <f>CalculationBefore!I186</f>
        <v>5.9708128909952609E-3</v>
      </c>
      <c r="H22" s="412">
        <f>CalculationBefore!J186</f>
        <v>6.6577205687203794E-2</v>
      </c>
      <c r="I22" s="412">
        <f>CalculationBefore!K186</f>
        <v>7.9522773459715687E-2</v>
      </c>
      <c r="J22" s="412">
        <f>CalculationBefore!L186</f>
        <v>3.5719199241706162E-2</v>
      </c>
      <c r="K22" s="412">
        <f>CalculationBefore!M186</f>
        <v>0</v>
      </c>
      <c r="L22" s="412">
        <f>CalculationBefore!N186</f>
        <v>0</v>
      </c>
      <c r="M22" s="413">
        <f>CalculationBefore!O186</f>
        <v>0</v>
      </c>
      <c r="N22" s="422">
        <f t="shared" si="2"/>
        <v>6.0062459108923705E-3</v>
      </c>
      <c r="O22" s="442">
        <f t="shared" si="3"/>
        <v>0.1877899912796209</v>
      </c>
    </row>
    <row r="23" spans="1:15" ht="14.25">
      <c r="A23" s="406" t="str">
        <f>INDEX(S10:U10,DATA!$G$4)</f>
        <v>Ganancias Trans (opacos)</v>
      </c>
      <c r="B23" s="411">
        <f>CalculationBefore!D187</f>
        <v>0</v>
      </c>
      <c r="C23" s="412">
        <f>CalculationBefore!E187</f>
        <v>0</v>
      </c>
      <c r="D23" s="412">
        <f>CalculationBefore!F187</f>
        <v>0</v>
      </c>
      <c r="E23" s="412">
        <f>CalculationBefore!G187</f>
        <v>0</v>
      </c>
      <c r="F23" s="412">
        <f>CalculationBefore!H187</f>
        <v>0</v>
      </c>
      <c r="G23" s="412">
        <f>CalculationBefore!I187</f>
        <v>4.6999716903633498E-2</v>
      </c>
      <c r="H23" s="412">
        <f>CalculationBefore!J187</f>
        <v>0.52406763981042659</v>
      </c>
      <c r="I23" s="412">
        <f>CalculationBefore!K187</f>
        <v>0.62596968088467664</v>
      </c>
      <c r="J23" s="412">
        <f>CalculationBefore!L187</f>
        <v>0.28116644802527652</v>
      </c>
      <c r="K23" s="412">
        <f>CalculationBefore!M187</f>
        <v>0</v>
      </c>
      <c r="L23" s="412">
        <f>CalculationBefore!N187</f>
        <v>0</v>
      </c>
      <c r="M23" s="413">
        <f>CalculationBefore!O187</f>
        <v>0</v>
      </c>
      <c r="N23" s="422">
        <f t="shared" si="2"/>
        <v>4.7278630668745193E-2</v>
      </c>
      <c r="O23" s="442">
        <f t="shared" si="3"/>
        <v>1.4782034856240132</v>
      </c>
    </row>
    <row r="24" spans="1:15" ht="14.25">
      <c r="A24" s="406" t="str">
        <f>INDEX(S11:U11,DATA!$G$4)</f>
        <v>Ganancias Suelo</v>
      </c>
      <c r="B24" s="411">
        <f>CalculationBefore!D188</f>
        <v>0</v>
      </c>
      <c r="C24" s="412">
        <f>CalculationBefore!E188</f>
        <v>0</v>
      </c>
      <c r="D24" s="412">
        <f>CalculationBefore!F188</f>
        <v>0</v>
      </c>
      <c r="E24" s="412">
        <f>CalculationBefore!G188</f>
        <v>0</v>
      </c>
      <c r="F24" s="412">
        <f>CalculationBefore!H188</f>
        <v>0</v>
      </c>
      <c r="G24" s="412">
        <f>CalculationBefore!I188</f>
        <v>0</v>
      </c>
      <c r="H24" s="412">
        <f>CalculationBefore!J188</f>
        <v>0</v>
      </c>
      <c r="I24" s="412">
        <f>CalculationBefore!K188</f>
        <v>0</v>
      </c>
      <c r="J24" s="412">
        <f>CalculationBefore!L188</f>
        <v>0</v>
      </c>
      <c r="K24" s="412">
        <f>CalculationBefore!M188</f>
        <v>0</v>
      </c>
      <c r="L24" s="412">
        <f>CalculationBefore!N188</f>
        <v>0</v>
      </c>
      <c r="M24" s="413">
        <f>CalculationBefore!O188</f>
        <v>0</v>
      </c>
      <c r="N24" s="422">
        <f t="shared" si="2"/>
        <v>0</v>
      </c>
      <c r="O24" s="442">
        <f t="shared" si="3"/>
        <v>0</v>
      </c>
    </row>
    <row r="25" spans="1:15" ht="15" thickBot="1">
      <c r="A25" s="406" t="str">
        <f>INDEX(S12:U12,DATA!$G$4)</f>
        <v>Ganancias Ventilación</v>
      </c>
      <c r="B25" s="424">
        <f>CalculationBefore!D189</f>
        <v>0</v>
      </c>
      <c r="C25" s="425">
        <f>CalculationBefore!E189</f>
        <v>0</v>
      </c>
      <c r="D25" s="425">
        <f>CalculationBefore!F189</f>
        <v>0</v>
      </c>
      <c r="E25" s="425">
        <f>CalculationBefore!G189</f>
        <v>0</v>
      </c>
      <c r="F25" s="425">
        <f>CalculationBefore!H189</f>
        <v>0</v>
      </c>
      <c r="G25" s="425">
        <f>CalculationBefore!I189</f>
        <v>1.0373400000000003E-2</v>
      </c>
      <c r="H25" s="425">
        <f>CalculationBefore!J189</f>
        <v>0.11566800000000002</v>
      </c>
      <c r="I25" s="425">
        <f>CalculationBefore!K189</f>
        <v>0.13815900000000012</v>
      </c>
      <c r="J25" s="425">
        <f>CalculationBefore!L189</f>
        <v>6.205680000000003E-2</v>
      </c>
      <c r="K25" s="425">
        <f>CalculationBefore!M189</f>
        <v>0</v>
      </c>
      <c r="L25" s="425">
        <f>CalculationBefore!N189</f>
        <v>0</v>
      </c>
      <c r="M25" s="426">
        <f>CalculationBefore!O189</f>
        <v>0</v>
      </c>
      <c r="N25" s="427">
        <f t="shared" si="2"/>
        <v>1.0434959605921501E-2</v>
      </c>
      <c r="O25" s="443">
        <f t="shared" si="3"/>
        <v>0.32625720000000014</v>
      </c>
    </row>
    <row r="26" spans="1:15" ht="15.75" thickBot="1">
      <c r="A26" s="393" t="s">
        <v>33</v>
      </c>
      <c r="B26" s="399">
        <f>CalculationBefore!D190</f>
        <v>0</v>
      </c>
      <c r="C26" s="400">
        <f>CalculationBefore!E190</f>
        <v>0</v>
      </c>
      <c r="D26" s="400">
        <f>CalculationBefore!F190</f>
        <v>0</v>
      </c>
      <c r="E26" s="400">
        <f>CalculationBefore!G190</f>
        <v>0</v>
      </c>
      <c r="F26" s="400">
        <f>CalculationBefore!H190</f>
        <v>3.9349393727445592</v>
      </c>
      <c r="G26" s="400">
        <f>CalculationBefore!I190</f>
        <v>5.854779021012658</v>
      </c>
      <c r="H26" s="400">
        <f>CalculationBefore!J190</f>
        <v>9.3155526050960589</v>
      </c>
      <c r="I26" s="400">
        <f>CalculationBefore!K190</f>
        <v>7.9669537961658117</v>
      </c>
      <c r="J26" s="400">
        <f>CalculationBefore!L190</f>
        <v>4.1935598674207899</v>
      </c>
      <c r="K26" s="400">
        <f>CalculationBefore!M190</f>
        <v>0</v>
      </c>
      <c r="L26" s="400">
        <f>CalculationBefore!N190</f>
        <v>0</v>
      </c>
      <c r="M26" s="401">
        <f>CalculationBefore!O190</f>
        <v>0</v>
      </c>
      <c r="O26" s="444">
        <f t="shared" si="3"/>
        <v>31.265784662439877</v>
      </c>
    </row>
  </sheetData>
  <sheetProtection password="D60A" sheet="1" objects="1" scenarios="1"/>
  <mergeCells count="1">
    <mergeCell ref="A1:M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7" zoomScale="80" zoomScaleNormal="80" workbookViewId="0">
      <selection activeCell="I22" sqref="I22"/>
    </sheetView>
  </sheetViews>
  <sheetFormatPr baseColWidth="10" defaultColWidth="11.42578125" defaultRowHeight="12.75"/>
  <cols>
    <col min="1" max="1" width="27.85546875" style="1" bestFit="1" customWidth="1"/>
    <col min="2" max="16384" width="11.42578125" style="1"/>
  </cols>
  <sheetData>
    <row r="1" spans="1:15" ht="16.5" thickBot="1">
      <c r="A1" s="804" t="s">
        <v>357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</row>
    <row r="2" spans="1:15" ht="15.75" thickBot="1">
      <c r="A2" s="389" t="s">
        <v>353</v>
      </c>
      <c r="B2" s="390" t="s">
        <v>13</v>
      </c>
      <c r="C2" s="391" t="s">
        <v>38</v>
      </c>
      <c r="D2" s="391" t="s">
        <v>39</v>
      </c>
      <c r="E2" s="391" t="s">
        <v>40</v>
      </c>
      <c r="F2" s="391" t="s">
        <v>41</v>
      </c>
      <c r="G2" s="391" t="s">
        <v>42</v>
      </c>
      <c r="H2" s="391" t="s">
        <v>43</v>
      </c>
      <c r="I2" s="391" t="s">
        <v>19</v>
      </c>
      <c r="J2" s="391" t="s">
        <v>44</v>
      </c>
      <c r="K2" s="391" t="s">
        <v>45</v>
      </c>
      <c r="L2" s="391" t="s">
        <v>46</v>
      </c>
      <c r="M2" s="404" t="s">
        <v>47</v>
      </c>
      <c r="N2" s="445" t="s">
        <v>358</v>
      </c>
      <c r="O2" s="439" t="s">
        <v>360</v>
      </c>
    </row>
    <row r="3" spans="1:15" ht="14.25">
      <c r="A3" s="406" t="s">
        <v>349</v>
      </c>
      <c r="B3" s="407">
        <f>CalculationAfter!D164</f>
        <v>2.0048721550710922</v>
      </c>
      <c r="C3" s="408">
        <f>CalculationAfter!E164</f>
        <v>1.6785910081516586</v>
      </c>
      <c r="D3" s="408">
        <f>CalculationAfter!F164</f>
        <v>1.5646700117535532</v>
      </c>
      <c r="E3" s="408">
        <f>CalculationAfter!G164</f>
        <v>1.1837268654028452</v>
      </c>
      <c r="F3" s="408">
        <f>CalculationAfter!H164</f>
        <v>0.67618135014217962</v>
      </c>
      <c r="G3" s="408">
        <f>CalculationAfter!I164</f>
        <v>0</v>
      </c>
      <c r="H3" s="408">
        <f>CalculationAfter!J164</f>
        <v>0</v>
      </c>
      <c r="I3" s="408">
        <f>CalculationAfter!K164</f>
        <v>0</v>
      </c>
      <c r="J3" s="408">
        <f>CalculationAfter!L164</f>
        <v>0</v>
      </c>
      <c r="K3" s="408">
        <f>CalculationAfter!M164</f>
        <v>0.51610544170616124</v>
      </c>
      <c r="L3" s="408">
        <f>CalculationAfter!N164</f>
        <v>1.2454957173459715</v>
      </c>
      <c r="M3" s="409">
        <f>CalculationAfter!O164</f>
        <v>1.8428412017061608</v>
      </c>
      <c r="N3" s="446">
        <f>SUM(B3:M3)/SUM($B$13:$M$13)</f>
        <v>0.10197358983713148</v>
      </c>
      <c r="O3" s="440">
        <f>SUM(B3:M3)</f>
        <v>10.712483751279622</v>
      </c>
    </row>
    <row r="4" spans="1:15" ht="14.25">
      <c r="A4" s="410" t="s">
        <v>350</v>
      </c>
      <c r="B4" s="411">
        <f>CalculationAfter!D165</f>
        <v>15.781506712164317</v>
      </c>
      <c r="C4" s="412">
        <f>CalculationAfter!E165</f>
        <v>13.213159350394946</v>
      </c>
      <c r="D4" s="412">
        <f>CalculationAfter!F165</f>
        <v>12.316421388941539</v>
      </c>
      <c r="E4" s="412">
        <f>CalculationAfter!G165</f>
        <v>9.3177978578199205</v>
      </c>
      <c r="F4" s="412">
        <f>CalculationAfter!H165</f>
        <v>5.3226139576619245</v>
      </c>
      <c r="G4" s="412">
        <f>CalculationAfter!I165</f>
        <v>0</v>
      </c>
      <c r="H4" s="412">
        <f>CalculationAfter!J165</f>
        <v>0</v>
      </c>
      <c r="I4" s="412">
        <f>CalculationAfter!K165</f>
        <v>0</v>
      </c>
      <c r="J4" s="412">
        <f>CalculationAfter!L165</f>
        <v>0</v>
      </c>
      <c r="K4" s="412">
        <f>CalculationAfter!M165</f>
        <v>4.0625640252764619</v>
      </c>
      <c r="L4" s="412">
        <f>CalculationAfter!N165</f>
        <v>9.8040161680884701</v>
      </c>
      <c r="M4" s="413">
        <f>CalculationAfter!O165</f>
        <v>14.50606749194313</v>
      </c>
      <c r="N4" s="447">
        <f t="shared" ref="N4:N12" si="0">SUM(B4:M4)/SUM($B$13:$M$13)</f>
        <v>0.80269302379588181</v>
      </c>
      <c r="O4" s="441">
        <f t="shared" ref="O4:O13" si="1">SUM(B4:M4)</f>
        <v>84.32414695229069</v>
      </c>
    </row>
    <row r="5" spans="1:15" ht="14.25">
      <c r="A5" s="410" t="s">
        <v>286</v>
      </c>
      <c r="B5" s="411">
        <f>CalculationAfter!D166</f>
        <v>3.1720022748815171</v>
      </c>
      <c r="C5" s="412">
        <f>CalculationAfter!E166</f>
        <v>2.5207749763033176</v>
      </c>
      <c r="D5" s="412">
        <f>CalculationAfter!F166</f>
        <v>2.050619146919431</v>
      </c>
      <c r="E5" s="412">
        <f>CalculationAfter!G166</f>
        <v>1.3046900473933647</v>
      </c>
      <c r="F5" s="412">
        <f>CalculationAfter!H166</f>
        <v>2.2049668246445588E-2</v>
      </c>
      <c r="G5" s="412">
        <f>CalculationAfter!I166</f>
        <v>0</v>
      </c>
      <c r="H5" s="412">
        <f>CalculationAfter!J166</f>
        <v>0</v>
      </c>
      <c r="I5" s="412">
        <f>CalculationAfter!K166</f>
        <v>0</v>
      </c>
      <c r="J5" s="412">
        <f>CalculationAfter!L166</f>
        <v>0</v>
      </c>
      <c r="K5" s="412">
        <f>CalculationAfter!M166</f>
        <v>1.3229800947867296</v>
      </c>
      <c r="L5" s="412">
        <f>CalculationAfter!N166</f>
        <v>2.2527241706161143</v>
      </c>
      <c r="M5" s="413">
        <f>CalculationAfter!O166</f>
        <v>2.9924549763033177</v>
      </c>
      <c r="N5" s="447">
        <f t="shared" si="0"/>
        <v>0.14886306045860859</v>
      </c>
      <c r="O5" s="441">
        <f t="shared" si="1"/>
        <v>15.638295355450236</v>
      </c>
    </row>
    <row r="6" spans="1:15" ht="14.25">
      <c r="A6" s="410" t="s">
        <v>287</v>
      </c>
      <c r="B6" s="411">
        <f>CalculationAfter!D167</f>
        <v>3.483167400000005</v>
      </c>
      <c r="C6" s="412">
        <f>CalculationAfter!E167</f>
        <v>2.9163024000000006</v>
      </c>
      <c r="D6" s="412">
        <f>CalculationAfter!F167</f>
        <v>2.7183815999999981</v>
      </c>
      <c r="E6" s="412">
        <f>CalculationAfter!G167</f>
        <v>2.0565495000000031</v>
      </c>
      <c r="F6" s="412">
        <f>CalculationAfter!H167</f>
        <v>1.1747645999999996</v>
      </c>
      <c r="G6" s="412">
        <f>CalculationAfter!I167</f>
        <v>0</v>
      </c>
      <c r="H6" s="412">
        <f>CalculationAfter!J167</f>
        <v>0</v>
      </c>
      <c r="I6" s="412">
        <f>CalculationAfter!K167</f>
        <v>0</v>
      </c>
      <c r="J6" s="412">
        <f>CalculationAfter!L167</f>
        <v>0</v>
      </c>
      <c r="K6" s="412">
        <f>CalculationAfter!M167</f>
        <v>0.8966565000000003</v>
      </c>
      <c r="L6" s="412">
        <f>CalculationAfter!N167</f>
        <v>2.1638637000000007</v>
      </c>
      <c r="M6" s="413">
        <f>CalculationAfter!O167</f>
        <v>3.2016627</v>
      </c>
      <c r="N6" s="447">
        <f t="shared" si="0"/>
        <v>0.17716395675567309</v>
      </c>
      <c r="O6" s="441">
        <f t="shared" si="1"/>
        <v>18.611348400000004</v>
      </c>
    </row>
    <row r="7" spans="1:15" ht="14.25">
      <c r="A7" s="414" t="s">
        <v>288</v>
      </c>
      <c r="B7" s="415">
        <f>CalculationAfter!D168</f>
        <v>-1.3744923203201322</v>
      </c>
      <c r="C7" s="416">
        <f>CalculationAfter!E168</f>
        <v>-1.6480572567094447</v>
      </c>
      <c r="D7" s="416">
        <f>CalculationAfter!F168</f>
        <v>-2.2467562669178989</v>
      </c>
      <c r="E7" s="416">
        <f>CalculationAfter!G168</f>
        <v>-2.4710438852341419</v>
      </c>
      <c r="F7" s="416">
        <f>CalculationAfter!H168</f>
        <v>-2.1619177466087285</v>
      </c>
      <c r="G7" s="416">
        <f>CalculationAfter!I168</f>
        <v>0</v>
      </c>
      <c r="H7" s="416">
        <f>CalculationAfter!J168</f>
        <v>0</v>
      </c>
      <c r="I7" s="416">
        <f>CalculationAfter!K168</f>
        <v>0</v>
      </c>
      <c r="J7" s="416">
        <f>CalculationAfter!L168</f>
        <v>0</v>
      </c>
      <c r="K7" s="416">
        <f>CalculationAfter!M168</f>
        <v>-1.3224750250699282</v>
      </c>
      <c r="L7" s="416">
        <f>CalculationAfter!N168</f>
        <v>-1.3629642450743358</v>
      </c>
      <c r="M7" s="417">
        <f>CalculationAfter!O168</f>
        <v>-1.2581071054127173</v>
      </c>
      <c r="N7" s="448">
        <f t="shared" si="0"/>
        <v>-0.13180018522501016</v>
      </c>
      <c r="O7" s="442">
        <f t="shared" si="1"/>
        <v>-13.845813851347327</v>
      </c>
    </row>
    <row r="8" spans="1:15" ht="14.25">
      <c r="A8" s="414" t="s">
        <v>284</v>
      </c>
      <c r="B8" s="415">
        <f>CalculationAfter!D169</f>
        <v>-1.3241762758261277</v>
      </c>
      <c r="C8" s="416">
        <f>CalculationAfter!E169</f>
        <v>-1.1588450644283688</v>
      </c>
      <c r="D8" s="416">
        <f>CalculationAfter!F169</f>
        <v>-1.2113927949721586</v>
      </c>
      <c r="E8" s="416">
        <f>CalculationAfter!G169</f>
        <v>-1.0625274401556881</v>
      </c>
      <c r="F8" s="416">
        <f>CalculationAfter!H169</f>
        <v>-0.7897052355214913</v>
      </c>
      <c r="G8" s="416">
        <f>CalculationAfter!I169</f>
        <v>0</v>
      </c>
      <c r="H8" s="416">
        <f>CalculationAfter!J169</f>
        <v>0</v>
      </c>
      <c r="I8" s="416">
        <f>CalculationAfter!K169</f>
        <v>0</v>
      </c>
      <c r="J8" s="416">
        <f>CalculationAfter!L169</f>
        <v>0</v>
      </c>
      <c r="K8" s="416">
        <f>CalculationAfter!M169</f>
        <v>-0.8333644617770698</v>
      </c>
      <c r="L8" s="416">
        <f>CalculationAfter!N169</f>
        <v>-1.1987137244220882</v>
      </c>
      <c r="M8" s="417">
        <f>CalculationAfter!O169</f>
        <v>-1.3165435700242643</v>
      </c>
      <c r="N8" s="448">
        <f t="shared" si="0"/>
        <v>-8.4675271339105712E-2</v>
      </c>
      <c r="O8" s="442">
        <f t="shared" si="1"/>
        <v>-8.8952685671272551</v>
      </c>
    </row>
    <row r="9" spans="1:15" ht="14.25">
      <c r="A9" s="414" t="s">
        <v>351</v>
      </c>
      <c r="B9" s="415">
        <f>CalculationAfter!D171</f>
        <v>-4.7021652736063956E-4</v>
      </c>
      <c r="C9" s="416">
        <f>CalculationAfter!E171</f>
        <v>-5.4671673904512744E-4</v>
      </c>
      <c r="D9" s="416">
        <f>CalculationAfter!F171</f>
        <v>-2.0648015176358944E-3</v>
      </c>
      <c r="E9" s="416">
        <f>CalculationAfter!G171</f>
        <v>-1.0546295852889376E-2</v>
      </c>
      <c r="F9" s="416">
        <f>CalculationAfter!H171</f>
        <v>-4.0745787759844859E-2</v>
      </c>
      <c r="G9" s="416">
        <f>CalculationAfter!I171</f>
        <v>0</v>
      </c>
      <c r="H9" s="416">
        <f>CalculationAfter!J171</f>
        <v>0</v>
      </c>
      <c r="I9" s="416">
        <f>CalculationAfter!K171</f>
        <v>0</v>
      </c>
      <c r="J9" s="416">
        <f>CalculationAfter!L171</f>
        <v>0</v>
      </c>
      <c r="K9" s="416">
        <f>CalculationAfter!M171</f>
        <v>-7.9338480292431249E-2</v>
      </c>
      <c r="L9" s="416">
        <f>CalculationAfter!N171</f>
        <v>-3.7827396805662568E-3</v>
      </c>
      <c r="M9" s="417">
        <f>CalculationAfter!O171</f>
        <v>-3.29591832014092E-3</v>
      </c>
      <c r="N9" s="448">
        <f t="shared" si="0"/>
        <v>-1.3402082657590687E-3</v>
      </c>
      <c r="O9" s="442">
        <f t="shared" si="1"/>
        <v>-0.14079095668991432</v>
      </c>
    </row>
    <row r="10" spans="1:15" ht="14.25">
      <c r="A10" s="414" t="s">
        <v>483</v>
      </c>
      <c r="B10" s="415">
        <f>CalculationAfter!D172</f>
        <v>-3.7013458758169012E-3</v>
      </c>
      <c r="C10" s="416">
        <f>CalculationAfter!E172</f>
        <v>-4.3035232271891764E-3</v>
      </c>
      <c r="D10" s="416">
        <f>CalculationAfter!F172</f>
        <v>-1.6253245339078719E-2</v>
      </c>
      <c r="E10" s="416">
        <f>CalculationAfter!G172</f>
        <v>-8.3015986016795454E-2</v>
      </c>
      <c r="F10" s="416">
        <f>CalculationAfter!H172</f>
        <v>-0.32073362952243334</v>
      </c>
      <c r="G10" s="416">
        <f>CalculationAfter!I172</f>
        <v>0</v>
      </c>
      <c r="H10" s="416">
        <f>CalculationAfter!J172</f>
        <v>0</v>
      </c>
      <c r="I10" s="416">
        <f>CalculationAfter!K172</f>
        <v>0</v>
      </c>
      <c r="J10" s="416">
        <f>CalculationAfter!L172</f>
        <v>0</v>
      </c>
      <c r="K10" s="416">
        <f>CalculationAfter!M172</f>
        <v>-0.62451900292042395</v>
      </c>
      <c r="L10" s="416">
        <f>CalculationAfter!N172</f>
        <v>-2.9776128870975232E-2</v>
      </c>
      <c r="M10" s="417">
        <f>CalculationAfter!O172</f>
        <v>-2.5944076763440727E-2</v>
      </c>
      <c r="N10" s="448">
        <f t="shared" si="0"/>
        <v>-1.0549553340983406E-2</v>
      </c>
      <c r="O10" s="442">
        <f t="shared" si="1"/>
        <v>-1.1082469385361535</v>
      </c>
    </row>
    <row r="11" spans="1:15" ht="14.25">
      <c r="A11" s="414" t="s">
        <v>290</v>
      </c>
      <c r="B11" s="415">
        <f>CalculationAfter!D173</f>
        <v>0</v>
      </c>
      <c r="C11" s="416">
        <f>CalculationAfter!E173</f>
        <v>0</v>
      </c>
      <c r="D11" s="416">
        <f>CalculationAfter!F173</f>
        <v>0</v>
      </c>
      <c r="E11" s="416">
        <f>CalculationAfter!G173</f>
        <v>0</v>
      </c>
      <c r="F11" s="416">
        <f>CalculationAfter!H173</f>
        <v>0</v>
      </c>
      <c r="G11" s="416">
        <f>CalculationAfter!I173</f>
        <v>0</v>
      </c>
      <c r="H11" s="416">
        <f>CalculationAfter!J173</f>
        <v>0</v>
      </c>
      <c r="I11" s="416">
        <f>CalculationAfter!K173</f>
        <v>0</v>
      </c>
      <c r="J11" s="416">
        <f>CalculationAfter!L173</f>
        <v>0</v>
      </c>
      <c r="K11" s="416">
        <f>CalculationAfter!M173</f>
        <v>0</v>
      </c>
      <c r="L11" s="416">
        <f>CalculationAfter!N173</f>
        <v>0</v>
      </c>
      <c r="M11" s="417">
        <f>CalculationAfter!O173</f>
        <v>0</v>
      </c>
      <c r="N11" s="448">
        <f t="shared" si="0"/>
        <v>0</v>
      </c>
      <c r="O11" s="442">
        <f t="shared" si="1"/>
        <v>0</v>
      </c>
    </row>
    <row r="12" spans="1:15" ht="15" thickBot="1">
      <c r="A12" s="418" t="s">
        <v>291</v>
      </c>
      <c r="B12" s="419">
        <f>CalculationAfter!D174</f>
        <v>-8.1693133145724827E-4</v>
      </c>
      <c r="C12" s="420">
        <f>CalculationAfter!E174</f>
        <v>-9.4983907959396625E-4</v>
      </c>
      <c r="D12" s="420">
        <f>CalculationAfter!F174</f>
        <v>-3.5872857605949719E-3</v>
      </c>
      <c r="E12" s="420">
        <f>CalculationAfter!G174</f>
        <v>-1.8322621625834753E-2</v>
      </c>
      <c r="F12" s="420">
        <f>CalculationAfter!H174</f>
        <v>-7.0789750485301256E-2</v>
      </c>
      <c r="G12" s="420">
        <f>CalculationAfter!I174</f>
        <v>0</v>
      </c>
      <c r="H12" s="420">
        <f>CalculationAfter!J174</f>
        <v>0</v>
      </c>
      <c r="I12" s="420">
        <f>CalculationAfter!K174</f>
        <v>0</v>
      </c>
      <c r="J12" s="420">
        <f>CalculationAfter!L174</f>
        <v>0</v>
      </c>
      <c r="K12" s="420">
        <f>CalculationAfter!M174</f>
        <v>-0.13783881801198444</v>
      </c>
      <c r="L12" s="420">
        <f>CalculationAfter!N174</f>
        <v>-6.571947994144095E-3</v>
      </c>
      <c r="M12" s="421">
        <f>CalculationAfter!O174</f>
        <v>-5.7261682330914231E-3</v>
      </c>
      <c r="N12" s="449">
        <f t="shared" si="0"/>
        <v>-2.3284126764367167E-3</v>
      </c>
      <c r="O12" s="443">
        <f t="shared" si="1"/>
        <v>-0.24460336252200213</v>
      </c>
    </row>
    <row r="13" spans="1:15" ht="15.75" thickBot="1">
      <c r="A13" s="392" t="s">
        <v>33</v>
      </c>
      <c r="B13" s="394">
        <f>CalculationAfter!D175</f>
        <v>21.737891452236035</v>
      </c>
      <c r="C13" s="395">
        <f>CalculationAfter!E175</f>
        <v>17.516125334666278</v>
      </c>
      <c r="D13" s="395">
        <f>CalculationAfter!F175</f>
        <v>15.170037753107154</v>
      </c>
      <c r="E13" s="395">
        <f>CalculationAfter!G175</f>
        <v>10.217308041730782</v>
      </c>
      <c r="F13" s="395">
        <f>CalculationAfter!H175</f>
        <v>3.8117174261527484</v>
      </c>
      <c r="G13" s="395">
        <f>CalculationAfter!I175</f>
        <v>0</v>
      </c>
      <c r="H13" s="395">
        <f>CalculationAfter!J175</f>
        <v>0</v>
      </c>
      <c r="I13" s="395">
        <f>CalculationAfter!K175</f>
        <v>0</v>
      </c>
      <c r="J13" s="395">
        <f>CalculationAfter!L175</f>
        <v>0</v>
      </c>
      <c r="K13" s="395">
        <f>CalculationAfter!M175</f>
        <v>3.8007702736975153</v>
      </c>
      <c r="L13" s="395">
        <f>CalculationAfter!N175</f>
        <v>12.864290970008444</v>
      </c>
      <c r="M13" s="396">
        <f>CalculationAfter!O175</f>
        <v>19.933409531198951</v>
      </c>
      <c r="N13" s="403"/>
      <c r="O13" s="444">
        <f t="shared" si="1"/>
        <v>105.0515507827979</v>
      </c>
    </row>
    <row r="14" spans="1:15" ht="13.5" thickBot="1">
      <c r="A14" s="397"/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403"/>
    </row>
    <row r="15" spans="1:15" ht="15.75" thickBot="1">
      <c r="A15" s="389" t="s">
        <v>354</v>
      </c>
      <c r="B15" s="390" t="s">
        <v>13</v>
      </c>
      <c r="C15" s="391" t="s">
        <v>38</v>
      </c>
      <c r="D15" s="391" t="s">
        <v>39</v>
      </c>
      <c r="E15" s="391" t="s">
        <v>40</v>
      </c>
      <c r="F15" s="391" t="s">
        <v>41</v>
      </c>
      <c r="G15" s="391" t="s">
        <v>42</v>
      </c>
      <c r="H15" s="391" t="s">
        <v>43</v>
      </c>
      <c r="I15" s="391" t="s">
        <v>19</v>
      </c>
      <c r="J15" s="391" t="s">
        <v>44</v>
      </c>
      <c r="K15" s="391" t="s">
        <v>45</v>
      </c>
      <c r="L15" s="391" t="s">
        <v>46</v>
      </c>
      <c r="M15" s="404" t="s">
        <v>47</v>
      </c>
      <c r="N15" s="445" t="s">
        <v>358</v>
      </c>
      <c r="O15" s="439" t="s">
        <v>360</v>
      </c>
    </row>
    <row r="16" spans="1:15" ht="14.25">
      <c r="A16" s="428" t="s">
        <v>349</v>
      </c>
      <c r="B16" s="429">
        <f>CalculationAfter!D179</f>
        <v>0</v>
      </c>
      <c r="C16" s="430">
        <f>CalculationAfter!E179</f>
        <v>0</v>
      </c>
      <c r="D16" s="430">
        <f>CalculationAfter!F179</f>
        <v>0</v>
      </c>
      <c r="E16" s="430">
        <f>CalculationAfter!G179</f>
        <v>0</v>
      </c>
      <c r="F16" s="430">
        <f>CalculationAfter!H179</f>
        <v>-0.52901913228517816</v>
      </c>
      <c r="G16" s="430">
        <f>CalculationAfter!I179</f>
        <v>-0.46109630833192261</v>
      </c>
      <c r="H16" s="430">
        <f>CalculationAfter!J179</f>
        <v>-0.37079149789089233</v>
      </c>
      <c r="I16" s="430">
        <f>CalculationAfter!K179</f>
        <v>-0.34404662309086187</v>
      </c>
      <c r="J16" s="430">
        <f>CalculationAfter!L179</f>
        <v>-0.34853338540152157</v>
      </c>
      <c r="K16" s="430">
        <f>CalculationAfter!M179</f>
        <v>0</v>
      </c>
      <c r="L16" s="430">
        <f>CalculationAfter!N179</f>
        <v>0</v>
      </c>
      <c r="M16" s="431">
        <f>CalculationAfter!O179</f>
        <v>0</v>
      </c>
      <c r="N16" s="450">
        <f>SUM(B16:M16)/SUM($B$26:$M$26)</f>
        <v>-6.5678407536250497E-2</v>
      </c>
      <c r="O16" s="440">
        <f>SUM(B16:M16)</f>
        <v>-2.0534869470003763</v>
      </c>
    </row>
    <row r="17" spans="1:15" ht="14.25">
      <c r="A17" s="414" t="s">
        <v>350</v>
      </c>
      <c r="B17" s="415">
        <f>CalculationAfter!D180</f>
        <v>0</v>
      </c>
      <c r="C17" s="416">
        <f>CalculationAfter!E180</f>
        <v>0</v>
      </c>
      <c r="D17" s="416">
        <f>CalculationAfter!F180</f>
        <v>0</v>
      </c>
      <c r="E17" s="416">
        <f>CalculationAfter!G180</f>
        <v>0</v>
      </c>
      <c r="F17" s="416">
        <f>CalculationAfter!H180</f>
        <v>-4.1642151425489953</v>
      </c>
      <c r="G17" s="416">
        <f>CalculationAfter!I180</f>
        <v>-3.6295553641605593</v>
      </c>
      <c r="H17" s="416">
        <f>CalculationAfter!J180</f>
        <v>-2.91871404267724</v>
      </c>
      <c r="I17" s="416">
        <f>CalculationAfter!K180</f>
        <v>-2.708189685747505</v>
      </c>
      <c r="J17" s="416">
        <f>CalculationAfter!L180</f>
        <v>-2.7435075833712812</v>
      </c>
      <c r="K17" s="416">
        <f>CalculationAfter!M180</f>
        <v>0</v>
      </c>
      <c r="L17" s="416">
        <f>CalculationAfter!N180</f>
        <v>0</v>
      </c>
      <c r="M17" s="417">
        <f>CalculationAfter!O180</f>
        <v>0</v>
      </c>
      <c r="N17" s="448">
        <f t="shared" ref="N17:N25" si="2">SUM(B17:M17)/SUM($B$26:$M$26)</f>
        <v>-0.51699268043395341</v>
      </c>
      <c r="O17" s="441">
        <f t="shared" ref="O17:O26" si="3">SUM(B17:M17)</f>
        <v>-16.164181818505583</v>
      </c>
    </row>
    <row r="18" spans="1:15" ht="14.25">
      <c r="A18" s="414" t="s">
        <v>286</v>
      </c>
      <c r="B18" s="415">
        <f>CalculationAfter!D181</f>
        <v>0</v>
      </c>
      <c r="C18" s="416">
        <f>CalculationAfter!E181</f>
        <v>0</v>
      </c>
      <c r="D18" s="416">
        <f>CalculationAfter!F181</f>
        <v>0</v>
      </c>
      <c r="E18" s="416">
        <f>CalculationAfter!G181</f>
        <v>0</v>
      </c>
      <c r="F18" s="416">
        <f>CalculationAfter!H181</f>
        <v>-0.59642250967231436</v>
      </c>
      <c r="G18" s="416">
        <f>CalculationAfter!I181</f>
        <v>-0.56647866806341385</v>
      </c>
      <c r="H18" s="416">
        <f>CalculationAfter!J181</f>
        <v>-0.72487462107343592</v>
      </c>
      <c r="I18" s="416">
        <f>CalculationAfter!K181</f>
        <v>-0.87235248030119639</v>
      </c>
      <c r="J18" s="416">
        <f>CalculationAfter!L181</f>
        <v>-0.86574068535668858</v>
      </c>
      <c r="K18" s="416">
        <f>CalculationAfter!M181</f>
        <v>0</v>
      </c>
      <c r="L18" s="416">
        <f>CalculationAfter!N181</f>
        <v>0</v>
      </c>
      <c r="M18" s="417">
        <f>CalculationAfter!O181</f>
        <v>0</v>
      </c>
      <c r="N18" s="448">
        <f t="shared" si="2"/>
        <v>-0.11596922973831095</v>
      </c>
      <c r="O18" s="441">
        <f t="shared" si="3"/>
        <v>-3.625868964467049</v>
      </c>
    </row>
    <row r="19" spans="1:15" ht="14.25">
      <c r="A19" s="414" t="s">
        <v>287</v>
      </c>
      <c r="B19" s="415">
        <f>CalculationAfter!D182</f>
        <v>0</v>
      </c>
      <c r="C19" s="416">
        <f>CalculationAfter!E182</f>
        <v>0</v>
      </c>
      <c r="D19" s="416">
        <f>CalculationAfter!F182</f>
        <v>0</v>
      </c>
      <c r="E19" s="416">
        <f>CalculationAfter!G182</f>
        <v>0</v>
      </c>
      <c r="F19" s="416">
        <f>CalculationAfter!H182</f>
        <v>-5.5145527086838575</v>
      </c>
      <c r="G19" s="416">
        <f>CalculationAfter!I182</f>
        <v>-4.8065178381964779</v>
      </c>
      <c r="H19" s="416">
        <f>CalculationAfter!J182</f>
        <v>-3.8651707173964795</v>
      </c>
      <c r="I19" s="416">
        <f>CalculationAfter!K182</f>
        <v>-3.5863792469730376</v>
      </c>
      <c r="J19" s="416">
        <f>CalculationAfter!L182</f>
        <v>-3.633149743054322</v>
      </c>
      <c r="K19" s="416">
        <f>CalculationAfter!M182</f>
        <v>0</v>
      </c>
      <c r="L19" s="416">
        <f>CalculationAfter!N182</f>
        <v>0</v>
      </c>
      <c r="M19" s="417">
        <f>CalculationAfter!O182</f>
        <v>0</v>
      </c>
      <c r="N19" s="448">
        <f t="shared" si="2"/>
        <v>-0.68463883076695309</v>
      </c>
      <c r="O19" s="441">
        <f t="shared" si="3"/>
        <v>-21.405770254304173</v>
      </c>
    </row>
    <row r="20" spans="1:15" ht="14.25">
      <c r="A20" s="410" t="s">
        <v>288</v>
      </c>
      <c r="B20" s="411">
        <f>CalculationAfter!D183</f>
        <v>0</v>
      </c>
      <c r="C20" s="412">
        <f>CalculationAfter!E183</f>
        <v>0</v>
      </c>
      <c r="D20" s="412">
        <f>CalculationAfter!F183</f>
        <v>0</v>
      </c>
      <c r="E20" s="412">
        <f>CalculationAfter!G183</f>
        <v>0</v>
      </c>
      <c r="F20" s="412">
        <f>CalculationAfter!H183</f>
        <v>13.251148865934905</v>
      </c>
      <c r="G20" s="412">
        <f>CalculationAfter!I183</f>
        <v>13.815083269970403</v>
      </c>
      <c r="H20" s="412">
        <f>CalculationAfter!J183</f>
        <v>15.000790638636474</v>
      </c>
      <c r="I20" s="412">
        <f>CalculationAfter!K183</f>
        <v>13.14627037793402</v>
      </c>
      <c r="J20" s="412">
        <f>CalculationAfter!L183</f>
        <v>9.9655488173376217</v>
      </c>
      <c r="K20" s="412">
        <f>CalculationAfter!M183</f>
        <v>0</v>
      </c>
      <c r="L20" s="412">
        <f>CalculationAfter!N183</f>
        <v>0</v>
      </c>
      <c r="M20" s="413">
        <f>CalculationAfter!O183</f>
        <v>0</v>
      </c>
      <c r="N20" s="447">
        <f t="shared" si="2"/>
        <v>2.0846699570637637</v>
      </c>
      <c r="O20" s="442">
        <f t="shared" si="3"/>
        <v>65.178841969813419</v>
      </c>
    </row>
    <row r="21" spans="1:15" ht="14.25">
      <c r="A21" s="410" t="s">
        <v>284</v>
      </c>
      <c r="B21" s="411">
        <f>CalculationAfter!D184</f>
        <v>0</v>
      </c>
      <c r="C21" s="412">
        <f>CalculationAfter!E184</f>
        <v>0</v>
      </c>
      <c r="D21" s="412">
        <f>CalculationAfter!F184</f>
        <v>0</v>
      </c>
      <c r="E21" s="412">
        <f>CalculationAfter!G184</f>
        <v>0</v>
      </c>
      <c r="F21" s="412">
        <f>CalculationAfter!H184</f>
        <v>1.4880000000000002</v>
      </c>
      <c r="G21" s="412">
        <f>CalculationAfter!I184</f>
        <v>1.4400000000000002</v>
      </c>
      <c r="H21" s="412">
        <f>CalculationAfter!J184</f>
        <v>1.4880000000000002</v>
      </c>
      <c r="I21" s="412">
        <f>CalculationAfter!K184</f>
        <v>1.4880000000000002</v>
      </c>
      <c r="J21" s="412">
        <f>CalculationAfter!L184</f>
        <v>1.4400000000000002</v>
      </c>
      <c r="K21" s="412">
        <f>CalculationAfter!M184</f>
        <v>0</v>
      </c>
      <c r="L21" s="412">
        <f>CalculationAfter!N184</f>
        <v>0</v>
      </c>
      <c r="M21" s="413">
        <f>CalculationAfter!O184</f>
        <v>0</v>
      </c>
      <c r="N21" s="447">
        <f t="shared" si="2"/>
        <v>0.23488935522614515</v>
      </c>
      <c r="O21" s="442">
        <f t="shared" si="3"/>
        <v>7.3440000000000012</v>
      </c>
    </row>
    <row r="22" spans="1:15" ht="14.25">
      <c r="A22" s="410" t="s">
        <v>351</v>
      </c>
      <c r="B22" s="411">
        <f>CalculationAfter!D186</f>
        <v>0</v>
      </c>
      <c r="C22" s="412">
        <f>CalculationAfter!E186</f>
        <v>0</v>
      </c>
      <c r="D22" s="412">
        <f>CalculationAfter!F186</f>
        <v>0</v>
      </c>
      <c r="E22" s="412">
        <f>CalculationAfter!G186</f>
        <v>0</v>
      </c>
      <c r="F22" s="412">
        <f>CalculationAfter!H186</f>
        <v>0</v>
      </c>
      <c r="G22" s="412">
        <f>CalculationAfter!I186</f>
        <v>5.9708128909952609E-3</v>
      </c>
      <c r="H22" s="412">
        <f>CalculationAfter!J186</f>
        <v>6.6577205687203794E-2</v>
      </c>
      <c r="I22" s="412">
        <f>CalculationAfter!K186</f>
        <v>7.9522773459715687E-2</v>
      </c>
      <c r="J22" s="412">
        <f>CalculationAfter!L186</f>
        <v>3.5719199241706162E-2</v>
      </c>
      <c r="K22" s="412">
        <f>CalculationAfter!M186</f>
        <v>0</v>
      </c>
      <c r="L22" s="412">
        <f>CalculationAfter!N186</f>
        <v>0</v>
      </c>
      <c r="M22" s="413">
        <f>CalculationAfter!O186</f>
        <v>0</v>
      </c>
      <c r="N22" s="447">
        <f t="shared" si="2"/>
        <v>6.0062459108923705E-3</v>
      </c>
      <c r="O22" s="442">
        <f t="shared" si="3"/>
        <v>0.1877899912796209</v>
      </c>
    </row>
    <row r="23" spans="1:15" ht="14.25">
      <c r="A23" s="410" t="s">
        <v>483</v>
      </c>
      <c r="B23" s="411">
        <f>CalculationAfter!D187</f>
        <v>0</v>
      </c>
      <c r="C23" s="412">
        <f>CalculationAfter!E187</f>
        <v>0</v>
      </c>
      <c r="D23" s="412">
        <f>CalculationAfter!F187</f>
        <v>0</v>
      </c>
      <c r="E23" s="412">
        <f>CalculationAfter!G187</f>
        <v>0</v>
      </c>
      <c r="F23" s="412">
        <f>CalculationAfter!H187</f>
        <v>0</v>
      </c>
      <c r="G23" s="412">
        <f>CalculationAfter!I187</f>
        <v>4.6999716903633498E-2</v>
      </c>
      <c r="H23" s="412">
        <f>CalculationAfter!J187</f>
        <v>0.52406763981042659</v>
      </c>
      <c r="I23" s="412">
        <f>CalculationAfter!K187</f>
        <v>0.62596968088467664</v>
      </c>
      <c r="J23" s="412">
        <f>CalculationAfter!L187</f>
        <v>0.28116644802527652</v>
      </c>
      <c r="K23" s="412">
        <f>CalculationAfter!M187</f>
        <v>0</v>
      </c>
      <c r="L23" s="412">
        <f>CalculationAfter!N187</f>
        <v>0</v>
      </c>
      <c r="M23" s="413">
        <f>CalculationAfter!O187</f>
        <v>0</v>
      </c>
      <c r="N23" s="447">
        <f t="shared" si="2"/>
        <v>4.7278630668745193E-2</v>
      </c>
      <c r="O23" s="442">
        <f t="shared" si="3"/>
        <v>1.4782034856240132</v>
      </c>
    </row>
    <row r="24" spans="1:15" ht="14.25">
      <c r="A24" s="410" t="s">
        <v>290</v>
      </c>
      <c r="B24" s="411">
        <f>CalculationAfter!D188</f>
        <v>0</v>
      </c>
      <c r="C24" s="412">
        <f>CalculationAfter!E188</f>
        <v>0</v>
      </c>
      <c r="D24" s="412">
        <f>CalculationAfter!F188</f>
        <v>0</v>
      </c>
      <c r="E24" s="412">
        <f>CalculationAfter!G188</f>
        <v>0</v>
      </c>
      <c r="F24" s="412">
        <f>CalculationAfter!H188</f>
        <v>0</v>
      </c>
      <c r="G24" s="412">
        <f>CalculationAfter!I188</f>
        <v>0</v>
      </c>
      <c r="H24" s="412">
        <f>CalculationAfter!J188</f>
        <v>0</v>
      </c>
      <c r="I24" s="412">
        <f>CalculationAfter!K188</f>
        <v>0</v>
      </c>
      <c r="J24" s="412">
        <f>CalculationAfter!L188</f>
        <v>0</v>
      </c>
      <c r="K24" s="412">
        <f>CalculationAfter!M188</f>
        <v>0</v>
      </c>
      <c r="L24" s="412">
        <f>CalculationAfter!N188</f>
        <v>0</v>
      </c>
      <c r="M24" s="413">
        <f>CalculationAfter!O188</f>
        <v>0</v>
      </c>
      <c r="N24" s="447">
        <f t="shared" si="2"/>
        <v>0</v>
      </c>
      <c r="O24" s="442">
        <f t="shared" si="3"/>
        <v>0</v>
      </c>
    </row>
    <row r="25" spans="1:15" ht="15" thickBot="1">
      <c r="A25" s="423" t="s">
        <v>291</v>
      </c>
      <c r="B25" s="424">
        <f>CalculationAfter!D189</f>
        <v>0</v>
      </c>
      <c r="C25" s="425">
        <f>CalculationAfter!E189</f>
        <v>0</v>
      </c>
      <c r="D25" s="425">
        <f>CalculationAfter!F189</f>
        <v>0</v>
      </c>
      <c r="E25" s="425">
        <f>CalculationAfter!G189</f>
        <v>0</v>
      </c>
      <c r="F25" s="425">
        <f>CalculationAfter!H189</f>
        <v>0</v>
      </c>
      <c r="G25" s="425">
        <f>CalculationAfter!I189</f>
        <v>1.0373400000000003E-2</v>
      </c>
      <c r="H25" s="425">
        <f>CalculationAfter!J189</f>
        <v>0.11566800000000002</v>
      </c>
      <c r="I25" s="425">
        <f>CalculationAfter!K189</f>
        <v>0.13815900000000012</v>
      </c>
      <c r="J25" s="425">
        <f>CalculationAfter!L189</f>
        <v>6.205680000000003E-2</v>
      </c>
      <c r="K25" s="425">
        <f>CalculationAfter!M189</f>
        <v>0</v>
      </c>
      <c r="L25" s="425">
        <f>CalculationAfter!N189</f>
        <v>0</v>
      </c>
      <c r="M25" s="426">
        <f>CalculationAfter!O189</f>
        <v>0</v>
      </c>
      <c r="N25" s="451">
        <f t="shared" si="2"/>
        <v>1.0434959605921501E-2</v>
      </c>
      <c r="O25" s="443">
        <f t="shared" si="3"/>
        <v>0.32625720000000014</v>
      </c>
    </row>
    <row r="26" spans="1:15" ht="15.75" thickBot="1">
      <c r="A26" s="393" t="s">
        <v>33</v>
      </c>
      <c r="B26" s="399">
        <f>CalculationAfter!D190</f>
        <v>0</v>
      </c>
      <c r="C26" s="400">
        <f>CalculationAfter!E190</f>
        <v>0</v>
      </c>
      <c r="D26" s="400">
        <f>CalculationAfter!F190</f>
        <v>0</v>
      </c>
      <c r="E26" s="400">
        <f>CalculationAfter!G190</f>
        <v>0</v>
      </c>
      <c r="F26" s="400">
        <f>CalculationAfter!H190</f>
        <v>3.9349393727445592</v>
      </c>
      <c r="G26" s="400">
        <f>CalculationAfter!I190</f>
        <v>5.854779021012658</v>
      </c>
      <c r="H26" s="400">
        <f>CalculationAfter!J190</f>
        <v>9.3155526050960589</v>
      </c>
      <c r="I26" s="400">
        <f>CalculationAfter!K190</f>
        <v>7.9669537961658117</v>
      </c>
      <c r="J26" s="400">
        <f>CalculationAfter!L190</f>
        <v>4.1935598674207899</v>
      </c>
      <c r="K26" s="400">
        <f>CalculationAfter!M190</f>
        <v>0</v>
      </c>
      <c r="L26" s="400">
        <f>CalculationAfter!N190</f>
        <v>0</v>
      </c>
      <c r="M26" s="401">
        <f>CalculationAfter!O190</f>
        <v>0</v>
      </c>
      <c r="O26" s="444">
        <f t="shared" si="3"/>
        <v>31.265784662439877</v>
      </c>
    </row>
  </sheetData>
  <sheetProtection password="D60A" sheet="1" objects="1" scenarios="1"/>
  <mergeCells count="1">
    <mergeCell ref="A1:M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4"/>
  <sheetViews>
    <sheetView topLeftCell="A94" zoomScale="70" zoomScaleNormal="70" workbookViewId="0">
      <selection activeCell="S116" sqref="S116:U119"/>
    </sheetView>
  </sheetViews>
  <sheetFormatPr baseColWidth="10" defaultColWidth="11.42578125" defaultRowHeight="14.25"/>
  <cols>
    <col min="1" max="1" width="19.85546875" style="110" bestFit="1" customWidth="1"/>
    <col min="2" max="2" width="25" style="110" bestFit="1" customWidth="1"/>
    <col min="3" max="3" width="21" style="110" customWidth="1"/>
    <col min="4" max="4" width="10.5703125" style="110" bestFit="1" customWidth="1"/>
    <col min="5" max="5" width="9.28515625" style="110" bestFit="1" customWidth="1"/>
    <col min="6" max="6" width="10.28515625" style="110" bestFit="1" customWidth="1"/>
    <col min="7" max="7" width="10.5703125" style="110" bestFit="1" customWidth="1"/>
    <col min="8" max="8" width="10.42578125" style="110" bestFit="1" customWidth="1"/>
    <col min="9" max="9" width="11" style="110" bestFit="1" customWidth="1"/>
    <col min="10" max="10" width="11.28515625" style="110" bestFit="1" customWidth="1"/>
    <col min="11" max="11" width="10.85546875" style="110" bestFit="1" customWidth="1"/>
    <col min="12" max="12" width="10.5703125" style="110" bestFit="1" customWidth="1"/>
    <col min="13" max="13" width="10.42578125" style="110" bestFit="1" customWidth="1"/>
    <col min="14" max="14" width="9.85546875" style="110" bestFit="1" customWidth="1"/>
    <col min="15" max="15" width="9.28515625" style="110" bestFit="1" customWidth="1"/>
    <col min="16" max="16" width="15.42578125" style="110" customWidth="1"/>
    <col min="17" max="17" width="12.7109375" style="110" customWidth="1"/>
    <col min="18" max="16384" width="11.42578125" style="1"/>
  </cols>
  <sheetData>
    <row r="1" spans="1:20" ht="15">
      <c r="A1" s="147"/>
    </row>
    <row r="2" spans="1:20" s="2" customFormat="1" ht="17.25" customHeight="1">
      <c r="A2" s="147"/>
      <c r="B2" s="148" t="s">
        <v>101</v>
      </c>
      <c r="C2" s="149">
        <f>DATA!$B$5</f>
        <v>6</v>
      </c>
      <c r="D2" s="110" t="str">
        <f>INDEX(Cities!A3:A91,C2,1)</f>
        <v>(Es) Barcelona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0" s="3" customFormat="1">
      <c r="A3" s="110"/>
      <c r="B3" s="148" t="s">
        <v>26</v>
      </c>
      <c r="C3" s="150" t="s">
        <v>4</v>
      </c>
      <c r="D3" s="151">
        <f>DATA!B6</f>
        <v>1582.5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20" s="3" customFormat="1">
      <c r="A4" s="110"/>
      <c r="B4" s="148" t="s">
        <v>27</v>
      </c>
      <c r="C4" s="150" t="s">
        <v>37</v>
      </c>
      <c r="D4" s="151">
        <f>DATA!I14</f>
        <v>300</v>
      </c>
      <c r="E4" s="110" t="str">
        <f>IF(D4&lt;=100,"muy baja",IF(D4&lt;=150,"baja",IF(D4&lt;400,"alta",IF(D4&lt;=400,"alta","muy alta"))))</f>
        <v>alta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20" s="3" customFormat="1">
      <c r="A5" s="110"/>
      <c r="B5" s="148" t="s">
        <v>102</v>
      </c>
      <c r="C5" s="150" t="s">
        <v>146</v>
      </c>
      <c r="D5" s="151">
        <f>DATA!I9*(1-DATA!C11)</f>
        <v>0.5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20" s="3" customFormat="1">
      <c r="A6" s="110"/>
      <c r="B6" s="148"/>
      <c r="C6" s="150" t="s">
        <v>145</v>
      </c>
      <c r="D6" s="151">
        <f>DATA!I12</f>
        <v>3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1:20" s="3" customFormat="1">
      <c r="A7" s="110"/>
      <c r="B7" s="148" t="s">
        <v>103</v>
      </c>
      <c r="C7" s="150" t="s">
        <v>28</v>
      </c>
      <c r="D7" s="151">
        <f>DATA!B7/DATA!B6</f>
        <v>2.7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20" s="3" customFormat="1">
      <c r="A8" s="110" t="s">
        <v>100</v>
      </c>
      <c r="B8" s="169" t="s">
        <v>48</v>
      </c>
      <c r="C8" s="150" t="s">
        <v>14</v>
      </c>
      <c r="D8" s="153">
        <v>19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20" s="3" customFormat="1">
      <c r="A9" s="110"/>
      <c r="B9" s="169" t="s">
        <v>49</v>
      </c>
      <c r="C9" s="154" t="s">
        <v>14</v>
      </c>
      <c r="D9" s="155">
        <v>26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</row>
    <row r="10" spans="1:20" s="3" customFormat="1" ht="15" thickBot="1">
      <c r="A10" s="110"/>
      <c r="B10" s="156" t="s">
        <v>104</v>
      </c>
      <c r="C10" s="217" t="s">
        <v>36</v>
      </c>
      <c r="D10" s="151">
        <f>DATA!H13</f>
        <v>2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20" s="3" customFormat="1" ht="15" thickBot="1">
      <c r="A11" s="110"/>
      <c r="B11" s="110"/>
      <c r="C11" s="110"/>
      <c r="D11" s="157" t="s">
        <v>32</v>
      </c>
      <c r="E11" s="158"/>
      <c r="F11" s="158"/>
      <c r="G11" s="158"/>
      <c r="H11" s="158"/>
      <c r="I11" s="158"/>
      <c r="J11" s="159"/>
      <c r="K11" s="160"/>
      <c r="L11" s="146" t="s">
        <v>158</v>
      </c>
      <c r="M11" s="159"/>
      <c r="N11" s="159"/>
      <c r="O11" s="159"/>
      <c r="P11" s="159"/>
      <c r="Q11" s="160"/>
    </row>
    <row r="12" spans="1:20" s="3" customFormat="1" ht="15" thickBot="1">
      <c r="A12" s="110"/>
      <c r="B12" s="110"/>
      <c r="C12" s="110"/>
      <c r="D12" s="146" t="s">
        <v>116</v>
      </c>
      <c r="E12" s="159"/>
      <c r="F12" s="159"/>
      <c r="G12" s="159"/>
      <c r="H12" s="159"/>
      <c r="I12" s="160"/>
      <c r="J12" s="160" t="s">
        <v>117</v>
      </c>
      <c r="K12" s="146" t="s">
        <v>159</v>
      </c>
      <c r="L12" s="161"/>
      <c r="M12" s="162"/>
      <c r="N12" s="163"/>
      <c r="O12" s="138"/>
      <c r="P12" s="138"/>
      <c r="Q12" s="138"/>
    </row>
    <row r="13" spans="1:20" s="3" customFormat="1">
      <c r="A13" s="110"/>
      <c r="B13" s="110"/>
      <c r="C13" s="110"/>
      <c r="D13" s="164" t="s">
        <v>22</v>
      </c>
      <c r="E13" s="164" t="s">
        <v>97</v>
      </c>
      <c r="F13" s="164" t="s">
        <v>24</v>
      </c>
      <c r="G13" s="164" t="s">
        <v>23</v>
      </c>
      <c r="H13" s="164" t="s">
        <v>21</v>
      </c>
      <c r="I13" s="164" t="s">
        <v>98</v>
      </c>
      <c r="J13" s="164" t="s">
        <v>117</v>
      </c>
      <c r="K13" s="164" t="s">
        <v>158</v>
      </c>
      <c r="L13" s="164" t="str">
        <f>DATA!B91</f>
        <v>wall 1</v>
      </c>
      <c r="M13" s="164" t="str">
        <f>DATA!C91</f>
        <v>wall 2</v>
      </c>
      <c r="N13" s="164" t="str">
        <f>DATA!D91</f>
        <v>wall 3</v>
      </c>
      <c r="O13" s="164" t="str">
        <f>DATA!E91</f>
        <v>wall 4</v>
      </c>
      <c r="P13" s="156" t="s">
        <v>33</v>
      </c>
      <c r="Q13" s="165" t="s">
        <v>216</v>
      </c>
      <c r="R13" s="110" t="s">
        <v>116</v>
      </c>
      <c r="S13" s="110" t="s">
        <v>215</v>
      </c>
      <c r="T13" s="110" t="s">
        <v>158</v>
      </c>
    </row>
    <row r="14" spans="1:20" s="3" customFormat="1">
      <c r="A14" s="166" t="s">
        <v>25</v>
      </c>
      <c r="B14" s="152" t="s">
        <v>1</v>
      </c>
      <c r="C14" s="150" t="s">
        <v>4</v>
      </c>
      <c r="D14" s="151">
        <f>DATA!B17</f>
        <v>75</v>
      </c>
      <c r="E14" s="151">
        <f>DATA!C17</f>
        <v>0</v>
      </c>
      <c r="F14" s="151">
        <f>DATA!D17</f>
        <v>394.5</v>
      </c>
      <c r="G14" s="151">
        <f>DATA!E17</f>
        <v>231</v>
      </c>
      <c r="H14" s="151">
        <f>DATA!F17</f>
        <v>394.5</v>
      </c>
      <c r="I14" s="151">
        <f>DATA!G17</f>
        <v>0</v>
      </c>
      <c r="J14" s="151">
        <f>DATA!B54</f>
        <v>335.5</v>
      </c>
      <c r="K14" s="151">
        <f>DATA!D54</f>
        <v>0</v>
      </c>
      <c r="L14" s="151">
        <f>DATA!B92</f>
        <v>335.4</v>
      </c>
      <c r="M14" s="151">
        <f>DATA!C92</f>
        <v>0</v>
      </c>
      <c r="N14" s="151">
        <f>DATA!D92</f>
        <v>0</v>
      </c>
      <c r="O14" s="151">
        <f>DATA!E92</f>
        <v>0</v>
      </c>
      <c r="P14" s="153"/>
      <c r="Q14" s="151">
        <f>DATA!C54</f>
        <v>335</v>
      </c>
      <c r="R14" s="110"/>
      <c r="S14" s="110"/>
      <c r="T14" s="110"/>
    </row>
    <row r="15" spans="1:20" s="3" customFormat="1">
      <c r="A15" s="167"/>
      <c r="B15" s="152" t="s">
        <v>105</v>
      </c>
      <c r="C15" s="150" t="s">
        <v>29</v>
      </c>
      <c r="D15" s="151">
        <f>DATA!B18</f>
        <v>0.03</v>
      </c>
      <c r="E15" s="151">
        <f>DATA!C18</f>
        <v>0</v>
      </c>
      <c r="F15" s="151">
        <f>DATA!D18</f>
        <v>0.1</v>
      </c>
      <c r="G15" s="151">
        <f>DATA!E18</f>
        <v>0.25</v>
      </c>
      <c r="H15" s="151">
        <f>DATA!F18</f>
        <v>0.1</v>
      </c>
      <c r="I15" s="151">
        <f>DATA!G18</f>
        <v>0</v>
      </c>
      <c r="J15" s="151">
        <f>DATA!B55</f>
        <v>0</v>
      </c>
      <c r="K15" s="151">
        <f>DATA!D55</f>
        <v>0</v>
      </c>
      <c r="L15" s="151">
        <f>DATA!B93</f>
        <v>0</v>
      </c>
      <c r="M15" s="151">
        <f>DATA!C93</f>
        <v>0</v>
      </c>
      <c r="N15" s="151">
        <f>DATA!D93</f>
        <v>0</v>
      </c>
      <c r="O15" s="151">
        <f>DATA!E93</f>
        <v>0</v>
      </c>
      <c r="P15" s="153"/>
      <c r="Q15" s="258" t="s">
        <v>211</v>
      </c>
      <c r="R15" s="110"/>
      <c r="S15" s="110"/>
      <c r="T15" s="110"/>
    </row>
    <row r="16" spans="1:20" s="3" customFormat="1">
      <c r="A16" s="166" t="s">
        <v>115</v>
      </c>
      <c r="B16" s="168" t="s">
        <v>99</v>
      </c>
      <c r="C16" s="150" t="s">
        <v>30</v>
      </c>
      <c r="D16" s="151">
        <f>DATA!B35</f>
        <v>2</v>
      </c>
      <c r="E16" s="151">
        <f>DATA!C35</f>
        <v>0</v>
      </c>
      <c r="F16" s="151">
        <f>DATA!D35</f>
        <v>2</v>
      </c>
      <c r="G16" s="151">
        <f>DATA!E35</f>
        <v>2</v>
      </c>
      <c r="H16" s="151">
        <f>DATA!F35</f>
        <v>2</v>
      </c>
      <c r="I16" s="151">
        <f>DATA!G35</f>
        <v>0</v>
      </c>
      <c r="J16" s="151">
        <f>DATA!B72</f>
        <v>2</v>
      </c>
      <c r="K16" s="151">
        <f>DATA!D72</f>
        <v>0</v>
      </c>
      <c r="L16" s="151">
        <f>DATA!B106</f>
        <v>2</v>
      </c>
      <c r="M16" s="151">
        <f>DATA!C106</f>
        <v>0</v>
      </c>
      <c r="N16" s="151">
        <f>DATA!D106</f>
        <v>0</v>
      </c>
      <c r="O16" s="151">
        <f>DATA!E106</f>
        <v>0</v>
      </c>
      <c r="P16" s="153"/>
      <c r="Q16" s="151">
        <f>DATA!C72</f>
        <v>2</v>
      </c>
      <c r="R16" s="110"/>
      <c r="S16" s="110"/>
      <c r="T16" s="110"/>
    </row>
    <row r="17" spans="1:20" s="3" customFormat="1">
      <c r="A17" s="167"/>
      <c r="B17" s="168" t="s">
        <v>106</v>
      </c>
      <c r="C17" s="150" t="s">
        <v>30</v>
      </c>
      <c r="D17" s="151">
        <f>DATA!B43</f>
        <v>3.01</v>
      </c>
      <c r="E17" s="151">
        <f>DATA!C43</f>
        <v>0</v>
      </c>
      <c r="F17" s="151">
        <f>DATA!D43</f>
        <v>3.01</v>
      </c>
      <c r="G17" s="151">
        <f>DATA!E43</f>
        <v>3.01</v>
      </c>
      <c r="H17" s="151">
        <f>DATA!F43</f>
        <v>3.01</v>
      </c>
      <c r="I17" s="151">
        <f>DATA!G43</f>
        <v>0</v>
      </c>
      <c r="J17" s="151">
        <f>DATA!B80</f>
        <v>0</v>
      </c>
      <c r="K17" s="151">
        <f>DATA!D80</f>
        <v>0</v>
      </c>
      <c r="L17" s="151">
        <f>DATA!B114</f>
        <v>0</v>
      </c>
      <c r="M17" s="151">
        <f>DATA!C114</f>
        <v>0</v>
      </c>
      <c r="N17" s="151">
        <f>DATA!D114</f>
        <v>0</v>
      </c>
      <c r="O17" s="151">
        <f>DATA!E114</f>
        <v>0</v>
      </c>
      <c r="P17" s="153"/>
      <c r="Q17" s="258" t="s">
        <v>211</v>
      </c>
      <c r="R17" s="110"/>
      <c r="S17" s="110"/>
      <c r="T17" s="110"/>
    </row>
    <row r="18" spans="1:20" s="3" customFormat="1">
      <c r="A18" s="167"/>
      <c r="B18" s="168" t="s">
        <v>107</v>
      </c>
      <c r="C18" s="150" t="s">
        <v>29</v>
      </c>
      <c r="D18" s="151">
        <f>DATA!B44</f>
        <v>0.61</v>
      </c>
      <c r="E18" s="151">
        <f>DATA!C44</f>
        <v>0</v>
      </c>
      <c r="F18" s="151">
        <f>DATA!D44</f>
        <v>0.61</v>
      </c>
      <c r="G18" s="151">
        <f>DATA!E44</f>
        <v>0.61</v>
      </c>
      <c r="H18" s="151">
        <f>DATA!F44</f>
        <v>0.61</v>
      </c>
      <c r="I18" s="151">
        <f>DATA!G44</f>
        <v>0</v>
      </c>
      <c r="J18" s="151">
        <f>DATA!B81</f>
        <v>0</v>
      </c>
      <c r="K18" s="151" t="str">
        <f>DATA!D81</f>
        <v>--</v>
      </c>
      <c r="L18" s="153"/>
      <c r="M18" s="153"/>
      <c r="N18" s="153"/>
      <c r="O18" s="153"/>
      <c r="P18" s="153"/>
      <c r="Q18" s="258" t="s">
        <v>211</v>
      </c>
      <c r="R18" s="110"/>
      <c r="S18" s="110"/>
      <c r="T18" s="110"/>
    </row>
    <row r="19" spans="1:20" s="3" customFormat="1" ht="15">
      <c r="A19" s="164"/>
      <c r="B19" s="168" t="s">
        <v>182</v>
      </c>
      <c r="C19" s="150" t="s">
        <v>29</v>
      </c>
      <c r="D19" s="221">
        <v>1</v>
      </c>
      <c r="E19" s="221">
        <v>1</v>
      </c>
      <c r="F19" s="221">
        <v>1</v>
      </c>
      <c r="G19" s="221">
        <v>1</v>
      </c>
      <c r="H19" s="221">
        <v>1</v>
      </c>
      <c r="I19" s="221">
        <v>1</v>
      </c>
      <c r="J19" s="221">
        <v>1</v>
      </c>
      <c r="K19" s="221">
        <v>1</v>
      </c>
      <c r="L19" s="151">
        <f>DATA!B119</f>
        <v>0.2</v>
      </c>
      <c r="M19" s="151">
        <f>DATA!C119</f>
        <v>1</v>
      </c>
      <c r="N19" s="151">
        <f>DATA!D119</f>
        <v>1</v>
      </c>
      <c r="O19" s="151">
        <v>0.2</v>
      </c>
      <c r="P19" s="153"/>
      <c r="Q19" s="258" t="s">
        <v>211</v>
      </c>
      <c r="R19" s="110"/>
      <c r="S19" s="110"/>
      <c r="T19" s="110"/>
    </row>
    <row r="20" spans="1:20" s="3" customFormat="1">
      <c r="A20" s="167" t="s">
        <v>114</v>
      </c>
      <c r="B20" s="152" t="s">
        <v>108</v>
      </c>
      <c r="C20" s="150" t="s">
        <v>29</v>
      </c>
      <c r="D20" s="221">
        <v>1</v>
      </c>
      <c r="E20" s="221">
        <v>1</v>
      </c>
      <c r="F20" s="221">
        <v>1</v>
      </c>
      <c r="G20" s="221">
        <v>1</v>
      </c>
      <c r="H20" s="221">
        <v>1</v>
      </c>
      <c r="I20" s="221">
        <v>1</v>
      </c>
      <c r="J20" s="221">
        <v>1</v>
      </c>
      <c r="K20" s="153"/>
      <c r="L20" s="153"/>
      <c r="M20" s="153"/>
      <c r="N20" s="153"/>
      <c r="O20" s="153"/>
      <c r="P20" s="153"/>
      <c r="Q20" s="153"/>
      <c r="R20" s="110"/>
      <c r="S20" s="110"/>
      <c r="T20" s="110"/>
    </row>
    <row r="21" spans="1:20" s="3" customFormat="1">
      <c r="A21" s="167"/>
      <c r="B21" s="152" t="s">
        <v>109</v>
      </c>
      <c r="C21" s="150" t="s">
        <v>29</v>
      </c>
      <c r="D21" s="221">
        <v>0.7</v>
      </c>
      <c r="E21" s="221">
        <v>0.7</v>
      </c>
      <c r="F21" s="221">
        <v>0.7</v>
      </c>
      <c r="G21" s="221">
        <v>0.7</v>
      </c>
      <c r="H21" s="221">
        <v>0.7</v>
      </c>
      <c r="I21" s="221">
        <v>0.7</v>
      </c>
      <c r="J21" s="221">
        <v>0.7</v>
      </c>
      <c r="K21" s="153"/>
      <c r="L21" s="153"/>
      <c r="M21" s="153"/>
      <c r="N21" s="153"/>
      <c r="O21" s="153"/>
      <c r="P21" s="153"/>
      <c r="Q21" s="153"/>
      <c r="R21" s="110"/>
      <c r="S21" s="110"/>
      <c r="T21" s="110"/>
    </row>
    <row r="22" spans="1:20" s="3" customFormat="1">
      <c r="A22" s="167"/>
      <c r="B22" s="152" t="s">
        <v>110</v>
      </c>
      <c r="C22" s="150" t="s">
        <v>29</v>
      </c>
      <c r="D22" s="221">
        <v>1</v>
      </c>
      <c r="E22" s="221">
        <v>1</v>
      </c>
      <c r="F22" s="221">
        <v>1</v>
      </c>
      <c r="G22" s="221">
        <v>1</v>
      </c>
      <c r="H22" s="221">
        <v>1</v>
      </c>
      <c r="I22" s="221">
        <v>1</v>
      </c>
      <c r="J22" s="221">
        <v>1</v>
      </c>
      <c r="K22" s="153"/>
      <c r="L22" s="153"/>
      <c r="M22" s="153"/>
      <c r="N22" s="153"/>
      <c r="O22" s="153"/>
      <c r="P22" s="153"/>
      <c r="Q22" s="153"/>
      <c r="R22" s="110"/>
      <c r="S22" s="110"/>
      <c r="T22" s="110"/>
    </row>
    <row r="23" spans="1:20" s="3" customFormat="1">
      <c r="A23" s="167"/>
      <c r="B23" s="152" t="s">
        <v>111</v>
      </c>
      <c r="C23" s="150" t="s">
        <v>29</v>
      </c>
      <c r="D23" s="221">
        <f>DATA!B49</f>
        <v>0.7</v>
      </c>
      <c r="E23" s="221">
        <f>DATA!C49</f>
        <v>1</v>
      </c>
      <c r="F23" s="221">
        <f>DATA!D49</f>
        <v>0.7</v>
      </c>
      <c r="G23" s="221">
        <f>DATA!E49</f>
        <v>0.7</v>
      </c>
      <c r="H23" s="221">
        <f>DATA!F49</f>
        <v>0.7</v>
      </c>
      <c r="I23" s="221">
        <f>DATA!G49</f>
        <v>1</v>
      </c>
      <c r="J23" s="221">
        <f>DATA!B86</f>
        <v>1</v>
      </c>
      <c r="K23" s="153" t="str">
        <f>DATA!D81</f>
        <v>--</v>
      </c>
      <c r="L23" s="153"/>
      <c r="M23" s="153"/>
      <c r="N23" s="153"/>
      <c r="O23" s="153"/>
      <c r="P23" s="153"/>
      <c r="Q23" s="153"/>
      <c r="R23" s="110"/>
      <c r="S23" s="110"/>
      <c r="T23" s="110"/>
    </row>
    <row r="24" spans="1:20" s="3" customFormat="1">
      <c r="A24" s="167"/>
      <c r="B24" s="152" t="s">
        <v>112</v>
      </c>
      <c r="C24" s="150" t="s">
        <v>29</v>
      </c>
      <c r="D24" s="221">
        <v>1</v>
      </c>
      <c r="E24" s="221">
        <v>1</v>
      </c>
      <c r="F24" s="221">
        <v>1</v>
      </c>
      <c r="G24" s="221">
        <v>1</v>
      </c>
      <c r="H24" s="221">
        <v>1</v>
      </c>
      <c r="I24" s="221">
        <v>1</v>
      </c>
      <c r="J24" s="221">
        <v>1</v>
      </c>
      <c r="K24" s="153"/>
      <c r="L24" s="153"/>
      <c r="M24" s="153"/>
      <c r="N24" s="153"/>
      <c r="O24" s="153"/>
      <c r="P24" s="153"/>
      <c r="Q24" s="153"/>
      <c r="R24" s="110"/>
      <c r="S24" s="110"/>
      <c r="T24" s="110"/>
    </row>
    <row r="25" spans="1:20" s="3" customFormat="1">
      <c r="A25" s="167"/>
      <c r="B25" s="152" t="s">
        <v>113</v>
      </c>
      <c r="C25" s="150" t="s">
        <v>29</v>
      </c>
      <c r="D25" s="221">
        <v>1</v>
      </c>
      <c r="E25" s="221">
        <v>1</v>
      </c>
      <c r="F25" s="221">
        <v>1</v>
      </c>
      <c r="G25" s="221">
        <v>1</v>
      </c>
      <c r="H25" s="221">
        <v>1</v>
      </c>
      <c r="I25" s="221">
        <v>1</v>
      </c>
      <c r="J25" s="221">
        <v>1</v>
      </c>
      <c r="K25" s="153"/>
      <c r="L25" s="153"/>
      <c r="M25" s="153"/>
      <c r="N25" s="153"/>
      <c r="O25" s="153"/>
      <c r="P25" s="153"/>
      <c r="Q25" s="153"/>
      <c r="R25" s="110"/>
      <c r="S25" s="110"/>
      <c r="T25" s="110"/>
    </row>
    <row r="26" spans="1:20">
      <c r="B26" s="152" t="s">
        <v>168</v>
      </c>
      <c r="C26" s="150" t="s">
        <v>31</v>
      </c>
      <c r="D26" s="151">
        <f>DATA!B51</f>
        <v>1.3</v>
      </c>
      <c r="E26" s="151">
        <f>DATA!C51</f>
        <v>1</v>
      </c>
      <c r="F26" s="151">
        <f>DATA!D51</f>
        <v>1.3</v>
      </c>
      <c r="G26" s="151">
        <f>DATA!E51</f>
        <v>1.3</v>
      </c>
      <c r="H26" s="151">
        <f>DATA!F51</f>
        <v>1.3</v>
      </c>
      <c r="I26" s="151">
        <f>DATA!G51</f>
        <v>1</v>
      </c>
      <c r="J26" s="151">
        <f>DATA!B88</f>
        <v>1</v>
      </c>
      <c r="K26" s="151">
        <f>DATA!D88</f>
        <v>1</v>
      </c>
      <c r="L26" s="221">
        <v>1</v>
      </c>
      <c r="M26" s="221">
        <v>1</v>
      </c>
      <c r="N26" s="221">
        <v>1</v>
      </c>
      <c r="O26" s="221">
        <v>1</v>
      </c>
      <c r="P26" s="221"/>
      <c r="Q26" s="221">
        <v>1</v>
      </c>
      <c r="R26" s="110"/>
      <c r="S26" s="110"/>
      <c r="T26" s="110"/>
    </row>
    <row r="27" spans="1:20" s="3" customFormat="1">
      <c r="A27" s="169" t="s">
        <v>118</v>
      </c>
      <c r="B27" s="169" t="s">
        <v>34</v>
      </c>
      <c r="C27" s="169" t="s">
        <v>30</v>
      </c>
      <c r="D27" s="170">
        <f>IF(D14=0,0,(D14*(1-D15)*D16+D14*D15*D17)/D14)</f>
        <v>2.0303</v>
      </c>
      <c r="E27" s="170">
        <f>IF(E14=0,0,(E14*(1-E15)*E16+E14*E15*E17)/E14)</f>
        <v>0</v>
      </c>
      <c r="F27" s="170">
        <f t="shared" ref="F27:N27" si="0">IF(F14=0,0,(F14*(1-F15)*F16+F14*F15*F17)/F14)</f>
        <v>2.101</v>
      </c>
      <c r="G27" s="170">
        <f t="shared" si="0"/>
        <v>2.2524999999999999</v>
      </c>
      <c r="H27" s="170">
        <f t="shared" si="0"/>
        <v>2.101</v>
      </c>
      <c r="I27" s="170">
        <f>IF(I14=0,0,(I14*(1-I15)*I16+I14*I15*I17)/I14)</f>
        <v>0</v>
      </c>
      <c r="J27" s="170">
        <f t="shared" si="0"/>
        <v>2</v>
      </c>
      <c r="K27" s="170">
        <f t="shared" si="0"/>
        <v>0</v>
      </c>
      <c r="L27" s="170">
        <f t="shared" si="0"/>
        <v>2</v>
      </c>
      <c r="M27" s="170">
        <f t="shared" si="0"/>
        <v>0</v>
      </c>
      <c r="N27" s="170">
        <f t="shared" si="0"/>
        <v>0</v>
      </c>
      <c r="O27" s="170">
        <f>IF(O14=0,0,(O14*(1-O15)*O16+O14*O15*O17)/O14)</f>
        <v>0</v>
      </c>
      <c r="P27" s="170"/>
      <c r="Q27" s="170">
        <f>IF(Q14=0,0,(Q14*Q16)/Q14)</f>
        <v>2</v>
      </c>
      <c r="R27" s="110"/>
      <c r="S27" s="110"/>
      <c r="T27" s="110"/>
    </row>
    <row r="28" spans="1:20" s="3" customFormat="1" ht="15">
      <c r="A28" s="169" t="s">
        <v>119</v>
      </c>
      <c r="B28" s="169" t="s">
        <v>183</v>
      </c>
      <c r="C28" s="169" t="s">
        <v>16</v>
      </c>
      <c r="D28" s="156">
        <f>D29+D30</f>
        <v>195.92250000000001</v>
      </c>
      <c r="E28" s="156">
        <f t="shared" ref="E28:O28" si="1">E29+E30</f>
        <v>0</v>
      </c>
      <c r="F28" s="156">
        <f t="shared" si="1"/>
        <v>1041.8745000000001</v>
      </c>
      <c r="G28" s="156">
        <f t="shared" si="1"/>
        <v>624.27749999999992</v>
      </c>
      <c r="H28" s="156">
        <f t="shared" si="1"/>
        <v>1041.8745000000001</v>
      </c>
      <c r="I28" s="156">
        <f t="shared" si="1"/>
        <v>0</v>
      </c>
      <c r="J28" s="156">
        <f t="shared" si="1"/>
        <v>671</v>
      </c>
      <c r="K28" s="156">
        <f t="shared" si="1"/>
        <v>0</v>
      </c>
      <c r="L28" s="156">
        <f t="shared" si="1"/>
        <v>134.16</v>
      </c>
      <c r="M28" s="156">
        <f t="shared" si="1"/>
        <v>0</v>
      </c>
      <c r="N28" s="156">
        <f t="shared" si="1"/>
        <v>0</v>
      </c>
      <c r="O28" s="156">
        <f t="shared" si="1"/>
        <v>0</v>
      </c>
      <c r="P28" s="171">
        <f>SUM(D28:O28)</f>
        <v>3709.1089999999999</v>
      </c>
      <c r="Q28" s="245">
        <f>Q14*Q27*Q$26</f>
        <v>670</v>
      </c>
      <c r="R28" s="169">
        <f>SUM(D28:I28)</f>
        <v>2903.9490000000001</v>
      </c>
      <c r="S28" s="169">
        <f>J28</f>
        <v>671</v>
      </c>
      <c r="T28" s="169">
        <f>K28</f>
        <v>0</v>
      </c>
    </row>
    <row r="29" spans="1:20" s="3" customFormat="1">
      <c r="A29" s="169"/>
      <c r="B29" s="169" t="s">
        <v>278</v>
      </c>
      <c r="C29" s="169" t="s">
        <v>16</v>
      </c>
      <c r="D29" s="156">
        <f>IF(D14=0,0,D14*D15*D17*D19)</f>
        <v>6.7724999999999991</v>
      </c>
      <c r="E29" s="156">
        <f t="shared" ref="E29:O29" si="2">IF(E14=0,0,E14*E15*E17*E19)</f>
        <v>0</v>
      </c>
      <c r="F29" s="156">
        <f t="shared" si="2"/>
        <v>118.7445</v>
      </c>
      <c r="G29" s="156">
        <f t="shared" si="2"/>
        <v>173.82749999999999</v>
      </c>
      <c r="H29" s="156">
        <f t="shared" si="2"/>
        <v>118.7445</v>
      </c>
      <c r="I29" s="156">
        <f t="shared" si="2"/>
        <v>0</v>
      </c>
      <c r="J29" s="156">
        <f t="shared" si="2"/>
        <v>0</v>
      </c>
      <c r="K29" s="156">
        <f t="shared" si="2"/>
        <v>0</v>
      </c>
      <c r="L29" s="156">
        <f t="shared" si="2"/>
        <v>0</v>
      </c>
      <c r="M29" s="156">
        <f t="shared" si="2"/>
        <v>0</v>
      </c>
      <c r="N29" s="156">
        <f t="shared" si="2"/>
        <v>0</v>
      </c>
      <c r="O29" s="156">
        <f t="shared" si="2"/>
        <v>0</v>
      </c>
      <c r="P29" s="171">
        <f>SUM(D29:O29)</f>
        <v>418.089</v>
      </c>
      <c r="Q29" s="172"/>
    </row>
    <row r="30" spans="1:20" s="3" customFormat="1">
      <c r="A30" s="169"/>
      <c r="B30" s="169" t="s">
        <v>348</v>
      </c>
      <c r="C30" s="169" t="s">
        <v>16</v>
      </c>
      <c r="D30" s="156">
        <f>IF(D14=0,0,D14*(1-D15)*D16*D19*D26)</f>
        <v>189.15</v>
      </c>
      <c r="E30" s="156">
        <f t="shared" ref="E30:O30" si="3">IF(E14=0,0,E14*(1-E15)*E16*E19*E26)</f>
        <v>0</v>
      </c>
      <c r="F30" s="156">
        <f t="shared" si="3"/>
        <v>923.13000000000011</v>
      </c>
      <c r="G30" s="156">
        <f t="shared" si="3"/>
        <v>450.45</v>
      </c>
      <c r="H30" s="156">
        <f t="shared" si="3"/>
        <v>923.13000000000011</v>
      </c>
      <c r="I30" s="156">
        <f t="shared" si="3"/>
        <v>0</v>
      </c>
      <c r="J30" s="156">
        <f t="shared" si="3"/>
        <v>671</v>
      </c>
      <c r="K30" s="156">
        <f t="shared" si="3"/>
        <v>0</v>
      </c>
      <c r="L30" s="156">
        <f t="shared" si="3"/>
        <v>134.16</v>
      </c>
      <c r="M30" s="156">
        <f t="shared" si="3"/>
        <v>0</v>
      </c>
      <c r="N30" s="156">
        <f t="shared" si="3"/>
        <v>0</v>
      </c>
      <c r="O30" s="156">
        <f t="shared" si="3"/>
        <v>0</v>
      </c>
      <c r="P30" s="171">
        <f>SUM(D30:O30)</f>
        <v>3291.0200000000004</v>
      </c>
      <c r="Q30" s="172"/>
    </row>
    <row r="31" spans="1:20" s="3" customFormat="1">
      <c r="A31" s="169" t="s">
        <v>120</v>
      </c>
      <c r="B31" s="169" t="s">
        <v>148</v>
      </c>
      <c r="C31" s="169" t="s">
        <v>16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56">
        <f>0.34*D3*D7*D5</f>
        <v>726.36750000000018</v>
      </c>
      <c r="Q31" s="172"/>
    </row>
    <row r="32" spans="1:20" s="3" customFormat="1">
      <c r="A32" s="169"/>
      <c r="B32" s="169" t="s">
        <v>147</v>
      </c>
      <c r="C32" s="169" t="s">
        <v>16</v>
      </c>
      <c r="D32" s="173"/>
      <c r="E32" s="173"/>
      <c r="F32" s="173"/>
      <c r="G32" s="173"/>
      <c r="H32" s="173"/>
      <c r="I32" s="173"/>
      <c r="J32" s="173"/>
      <c r="K32" s="173"/>
      <c r="L32" s="172"/>
      <c r="M32" s="172"/>
      <c r="N32" s="172"/>
      <c r="O32" s="172"/>
      <c r="P32" s="156">
        <f>0.34*D3*D7*D6</f>
        <v>4358.2050000000008</v>
      </c>
      <c r="Q32" s="172"/>
    </row>
    <row r="33" spans="1:17" s="3" customFormat="1">
      <c r="A33" s="156" t="s">
        <v>121</v>
      </c>
      <c r="B33" s="165" t="s">
        <v>125</v>
      </c>
      <c r="C33" s="156" t="s">
        <v>29</v>
      </c>
      <c r="D33" s="156">
        <f t="shared" ref="D33:J33" si="4">D20*D21*D22*D24*D25</f>
        <v>0.7</v>
      </c>
      <c r="E33" s="156">
        <f t="shared" si="4"/>
        <v>0.7</v>
      </c>
      <c r="F33" s="156">
        <f t="shared" si="4"/>
        <v>0.7</v>
      </c>
      <c r="G33" s="156">
        <f t="shared" si="4"/>
        <v>0.7</v>
      </c>
      <c r="H33" s="156">
        <f t="shared" si="4"/>
        <v>0.7</v>
      </c>
      <c r="I33" s="156">
        <f t="shared" si="4"/>
        <v>0.7</v>
      </c>
      <c r="J33" s="156">
        <f t="shared" si="4"/>
        <v>0.7</v>
      </c>
      <c r="K33" s="156"/>
      <c r="L33" s="110"/>
      <c r="M33" s="110"/>
      <c r="N33" s="110"/>
      <c r="O33" s="110"/>
      <c r="P33" s="110"/>
      <c r="Q33" s="110"/>
    </row>
    <row r="34" spans="1:17" s="3" customFormat="1">
      <c r="A34" s="174" t="s">
        <v>122</v>
      </c>
      <c r="B34" s="165" t="s">
        <v>126</v>
      </c>
      <c r="C34" s="174" t="s">
        <v>29</v>
      </c>
      <c r="D34" s="156">
        <f t="shared" ref="D34:J34" si="5">D20*D21*D23*D24*D25</f>
        <v>0.48999999999999994</v>
      </c>
      <c r="E34" s="156">
        <f t="shared" si="5"/>
        <v>0.7</v>
      </c>
      <c r="F34" s="156">
        <f t="shared" si="5"/>
        <v>0.48999999999999994</v>
      </c>
      <c r="G34" s="156">
        <f t="shared" si="5"/>
        <v>0.48999999999999994</v>
      </c>
      <c r="H34" s="156">
        <f t="shared" si="5"/>
        <v>0.48999999999999994</v>
      </c>
      <c r="I34" s="156">
        <f t="shared" si="5"/>
        <v>0.7</v>
      </c>
      <c r="J34" s="156">
        <f t="shared" si="5"/>
        <v>0.7</v>
      </c>
      <c r="K34" s="156"/>
      <c r="L34" s="110"/>
      <c r="M34" s="110"/>
      <c r="N34" s="110"/>
      <c r="O34" s="110"/>
      <c r="P34" s="110"/>
      <c r="Q34" s="110"/>
    </row>
    <row r="35" spans="1:17" s="3" customFormat="1">
      <c r="A35" s="156" t="s">
        <v>123</v>
      </c>
      <c r="B35" s="169" t="s">
        <v>127</v>
      </c>
      <c r="C35" s="156" t="s">
        <v>4</v>
      </c>
      <c r="D35" s="169">
        <f t="shared" ref="D35:J35" si="6">D33*D14*D15*D18</f>
        <v>0.96074999999999999</v>
      </c>
      <c r="E35" s="169">
        <f t="shared" si="6"/>
        <v>0</v>
      </c>
      <c r="F35" s="169">
        <f t="shared" si="6"/>
        <v>16.84515</v>
      </c>
      <c r="G35" s="169">
        <f t="shared" si="6"/>
        <v>24.659249999999997</v>
      </c>
      <c r="H35" s="169">
        <f t="shared" si="6"/>
        <v>16.84515</v>
      </c>
      <c r="I35" s="169">
        <f t="shared" si="6"/>
        <v>0</v>
      </c>
      <c r="J35" s="169">
        <f t="shared" si="6"/>
        <v>0</v>
      </c>
      <c r="K35" s="169">
        <v>0</v>
      </c>
      <c r="L35" s="110"/>
      <c r="M35" s="110"/>
      <c r="N35" s="110"/>
      <c r="O35" s="110"/>
      <c r="P35" s="110"/>
      <c r="Q35" s="110"/>
    </row>
    <row r="36" spans="1:17" s="3" customFormat="1" ht="15" thickBot="1">
      <c r="A36" s="156" t="s">
        <v>124</v>
      </c>
      <c r="B36" s="169" t="s">
        <v>128</v>
      </c>
      <c r="C36" s="156" t="s">
        <v>4</v>
      </c>
      <c r="D36" s="166">
        <f t="shared" ref="D36:J36" si="7">D34*D14*D15*D18+0.045*(1-D15)*D14*D16*D20</f>
        <v>7.2200249999999997</v>
      </c>
      <c r="E36" s="166">
        <f t="shared" si="7"/>
        <v>0</v>
      </c>
      <c r="F36" s="166">
        <f t="shared" si="7"/>
        <v>43.746105</v>
      </c>
      <c r="G36" s="166">
        <f t="shared" si="7"/>
        <v>32.853974999999998</v>
      </c>
      <c r="H36" s="166">
        <f t="shared" si="7"/>
        <v>43.746105</v>
      </c>
      <c r="I36" s="166">
        <f t="shared" si="7"/>
        <v>0</v>
      </c>
      <c r="J36" s="166">
        <f t="shared" si="7"/>
        <v>30.195</v>
      </c>
      <c r="K36" s="166">
        <v>0</v>
      </c>
      <c r="L36" s="110"/>
      <c r="M36" s="110"/>
      <c r="N36" s="110"/>
      <c r="O36" s="110"/>
      <c r="P36" s="110"/>
      <c r="Q36" s="110"/>
    </row>
    <row r="37" spans="1:17" ht="15" thickBot="1">
      <c r="D37" s="128" t="s">
        <v>13</v>
      </c>
      <c r="E37" s="129" t="s">
        <v>38</v>
      </c>
      <c r="F37" s="129" t="s">
        <v>39</v>
      </c>
      <c r="G37" s="129" t="s">
        <v>40</v>
      </c>
      <c r="H37" s="129" t="s">
        <v>41</v>
      </c>
      <c r="I37" s="129" t="s">
        <v>42</v>
      </c>
      <c r="J37" s="129" t="s">
        <v>43</v>
      </c>
      <c r="K37" s="129" t="s">
        <v>19</v>
      </c>
      <c r="L37" s="129" t="s">
        <v>44</v>
      </c>
      <c r="M37" s="129" t="s">
        <v>45</v>
      </c>
      <c r="N37" s="129" t="s">
        <v>46</v>
      </c>
      <c r="O37" s="130" t="s">
        <v>47</v>
      </c>
    </row>
    <row r="38" spans="1:17" ht="12.75" customHeight="1">
      <c r="A38" s="175" t="s">
        <v>50</v>
      </c>
      <c r="B38" s="142" t="s">
        <v>10</v>
      </c>
      <c r="C38" s="176"/>
      <c r="D38" s="177">
        <v>31</v>
      </c>
      <c r="E38" s="178">
        <v>28</v>
      </c>
      <c r="F38" s="178">
        <v>31</v>
      </c>
      <c r="G38" s="178">
        <v>30</v>
      </c>
      <c r="H38" s="178">
        <v>31</v>
      </c>
      <c r="I38" s="178">
        <v>30</v>
      </c>
      <c r="J38" s="178">
        <v>31</v>
      </c>
      <c r="K38" s="178">
        <v>31</v>
      </c>
      <c r="L38" s="178">
        <v>30</v>
      </c>
      <c r="M38" s="178">
        <v>31</v>
      </c>
      <c r="N38" s="178">
        <v>30</v>
      </c>
      <c r="O38" s="179">
        <v>31</v>
      </c>
    </row>
    <row r="39" spans="1:17" ht="15">
      <c r="A39" s="180"/>
      <c r="B39" s="181" t="s">
        <v>184</v>
      </c>
      <c r="C39" s="182" t="s">
        <v>14</v>
      </c>
      <c r="D39" s="183">
        <f>INDEX(Cities!$B$3:$M$91,$C$2,1)</f>
        <v>8.7394838709677405</v>
      </c>
      <c r="E39" s="184">
        <f>INDEX(Cities!$B$3:$M$91,$C$2,2)</f>
        <v>9.4804285714285701</v>
      </c>
      <c r="F39" s="184">
        <f>INDEX(Cities!$B$3:$M$91,$C$2,3)</f>
        <v>10.975870967741931</v>
      </c>
      <c r="G39" s="184">
        <f>INDEX(Cities!$B$3:$M$91,$C$2,4)</f>
        <v>12.772400000000003</v>
      </c>
      <c r="H39" s="184">
        <f>INDEX(Cities!$B$3:$M$91,$C$2,5)</f>
        <v>15.862709677419357</v>
      </c>
      <c r="I39" s="184">
        <f>INDEX(Cities!$B$3:$M$91,$C$2,6)</f>
        <v>19.611066666666662</v>
      </c>
      <c r="J39" s="184">
        <f>INDEX(Cities!$B$3:$M$91,$C$2,7)</f>
        <v>22.773548387096778</v>
      </c>
      <c r="K39" s="184">
        <f>INDEX(Cities!$B$3:$M$91,$C$2,8)</f>
        <v>22.923354838709674</v>
      </c>
      <c r="L39" s="184">
        <f>INDEX(Cities!$B$3:$M$91,$C$2,9)</f>
        <v>20.969200000000001</v>
      </c>
      <c r="M39" s="184">
        <f>INDEX(Cities!$B$3:$M$91,$C$2,10)</f>
        <v>17.009548387096771</v>
      </c>
      <c r="N39" s="184">
        <f>INDEX(Cities!$B$3:$M$91,$C$2,11)</f>
        <v>12.403066666666666</v>
      </c>
      <c r="O39" s="185">
        <f>INDEX(Cities!$B$3:$M$91,$C$2,12)</f>
        <v>9.5865107526881701</v>
      </c>
    </row>
    <row r="40" spans="1:17" ht="15">
      <c r="A40" s="180"/>
      <c r="B40" s="181" t="s">
        <v>185</v>
      </c>
      <c r="C40" s="182" t="s">
        <v>14</v>
      </c>
      <c r="D40" s="183">
        <f>INDEX(Cities!$N$3:$Y$91,$C$2,1)</f>
        <v>8.93</v>
      </c>
      <c r="E40" s="184">
        <f>INDEX(Cities!$N$3:$Y$91,$C$2,2)</f>
        <v>10.14</v>
      </c>
      <c r="F40" s="184">
        <f>INDEX(Cities!$N$3:$Y$91,$C$2,3)</f>
        <v>12.49</v>
      </c>
      <c r="G40" s="184">
        <f>INDEX(Cities!$N$3:$Y$91,$C$2,4)</f>
        <v>14.72</v>
      </c>
      <c r="H40" s="184">
        <f>INDEX(Cities!$N$3:$Y$91,$C$2,5)</f>
        <v>18.93</v>
      </c>
      <c r="I40" s="184">
        <f>INDEX(Cities!$N$3:$Y$91,$C$2,6)</f>
        <v>21.15</v>
      </c>
      <c r="J40" s="184">
        <f>INDEX(Cities!$N$3:$Y$91,$C$2,7)</f>
        <v>21.76</v>
      </c>
      <c r="K40" s="184">
        <f>INDEX(Cities!$N$3:$Y$91,$C$2,8)</f>
        <v>20.63</v>
      </c>
      <c r="L40" s="184">
        <f>INDEX(Cities!$N$3:$Y$91,$C$2,9)</f>
        <v>18.04</v>
      </c>
      <c r="M40" s="184">
        <f>INDEX(Cities!$N$3:$Y$91,$C$2,10)</f>
        <v>14.8</v>
      </c>
      <c r="N40" s="184">
        <f>INDEX(Cities!$N$3:$Y$91,$C$2,11)</f>
        <v>11.61</v>
      </c>
      <c r="O40" s="185">
        <f>INDEX(Cities!$N$3:$Y$91,$C$2,12)</f>
        <v>9.5</v>
      </c>
    </row>
    <row r="41" spans="1:17" ht="15">
      <c r="A41" s="180"/>
      <c r="B41" s="181" t="s">
        <v>186</v>
      </c>
      <c r="C41" s="182" t="s">
        <v>14</v>
      </c>
      <c r="D41" s="186">
        <f>$D$8</f>
        <v>19</v>
      </c>
      <c r="E41" s="187">
        <f>$D$8</f>
        <v>19</v>
      </c>
      <c r="F41" s="187">
        <f>$D$8</f>
        <v>19</v>
      </c>
      <c r="G41" s="187">
        <f>$D$8</f>
        <v>19</v>
      </c>
      <c r="H41" s="187">
        <f>$D$8</f>
        <v>19</v>
      </c>
      <c r="I41" s="187">
        <f t="shared" ref="I41:O41" si="8">$D$8</f>
        <v>19</v>
      </c>
      <c r="J41" s="187">
        <f t="shared" si="8"/>
        <v>19</v>
      </c>
      <c r="K41" s="187">
        <f t="shared" si="8"/>
        <v>19</v>
      </c>
      <c r="L41" s="187">
        <f t="shared" si="8"/>
        <v>19</v>
      </c>
      <c r="M41" s="187">
        <f t="shared" si="8"/>
        <v>19</v>
      </c>
      <c r="N41" s="187">
        <f t="shared" si="8"/>
        <v>19</v>
      </c>
      <c r="O41" s="188">
        <f t="shared" si="8"/>
        <v>19</v>
      </c>
      <c r="P41" s="189"/>
    </row>
    <row r="42" spans="1:17" ht="15">
      <c r="A42" s="180"/>
      <c r="B42" s="181" t="s">
        <v>187</v>
      </c>
      <c r="C42" s="182" t="s">
        <v>14</v>
      </c>
      <c r="D42" s="186">
        <f>$D$9</f>
        <v>26</v>
      </c>
      <c r="E42" s="187">
        <f t="shared" ref="E42:O42" si="9">$D$9</f>
        <v>26</v>
      </c>
      <c r="F42" s="187">
        <f t="shared" si="9"/>
        <v>26</v>
      </c>
      <c r="G42" s="187">
        <f t="shared" si="9"/>
        <v>26</v>
      </c>
      <c r="H42" s="187">
        <f t="shared" si="9"/>
        <v>26</v>
      </c>
      <c r="I42" s="187">
        <f t="shared" si="9"/>
        <v>26</v>
      </c>
      <c r="J42" s="187">
        <f t="shared" si="9"/>
        <v>26</v>
      </c>
      <c r="K42" s="187">
        <f t="shared" si="9"/>
        <v>26</v>
      </c>
      <c r="L42" s="187">
        <f t="shared" si="9"/>
        <v>26</v>
      </c>
      <c r="M42" s="187">
        <f t="shared" si="9"/>
        <v>26</v>
      </c>
      <c r="N42" s="187">
        <f t="shared" si="9"/>
        <v>26</v>
      </c>
      <c r="O42" s="188">
        <f t="shared" si="9"/>
        <v>26</v>
      </c>
      <c r="P42" s="189"/>
    </row>
    <row r="43" spans="1:17">
      <c r="A43" s="180"/>
      <c r="B43" s="143" t="s">
        <v>160</v>
      </c>
      <c r="C43" s="182" t="s">
        <v>164</v>
      </c>
      <c r="D43" s="190">
        <f>INDEX(Cities!$CH$3:$CS$91,$C$2,1)</f>
        <v>7588.6000000000085</v>
      </c>
      <c r="E43" s="191">
        <f>INDEX(Cities!$CH$3:$CS$91,$C$2,2)</f>
        <v>6353.5999999999995</v>
      </c>
      <c r="F43" s="191">
        <f>INDEX(Cities!$CH$3:$CS$91,$C$2,3)</f>
        <v>5922.3999999999951</v>
      </c>
      <c r="G43" s="191">
        <f>INDEX(Cities!$CH$3:$CS$91,$C$2,4)</f>
        <v>4480.5000000000064</v>
      </c>
      <c r="H43" s="191">
        <f>INDEX(Cities!$CH$3:$CS$91,$C$2,5)</f>
        <v>2559.3999999999983</v>
      </c>
      <c r="I43" s="191">
        <f>INDEX(Cities!$CH$3:$CS$91,$C$2,6)</f>
        <v>758.60000000000048</v>
      </c>
      <c r="J43" s="191">
        <f>INDEX(Cities!$CH$3:$CS$91,$C$2,7)</f>
        <v>79.000000000000028</v>
      </c>
      <c r="K43" s="191">
        <f>INDEX(Cities!$CH$3:$CS$91,$C$2,8)</f>
        <v>49.100000000000037</v>
      </c>
      <c r="L43" s="191">
        <f>INDEX(Cities!$CH$3:$CS$91,$C$2,9)</f>
        <v>460.09999999999991</v>
      </c>
      <c r="M43" s="191">
        <f>INDEX(Cities!$CH$3:$CS$91,$C$2,10)</f>
        <v>1953.5000000000002</v>
      </c>
      <c r="N43" s="191">
        <f>INDEX(Cities!$CH$3:$CS$91,$C$2,11)</f>
        <v>4714.3</v>
      </c>
      <c r="O43" s="192">
        <f>INDEX(Cities!$CH$3:$CS$91,$C$2,12)</f>
        <v>6975.2999999999993</v>
      </c>
    </row>
    <row r="44" spans="1:17">
      <c r="A44" s="180"/>
      <c r="B44" s="143" t="s">
        <v>161</v>
      </c>
      <c r="C44" s="182" t="s">
        <v>165</v>
      </c>
      <c r="D44" s="190">
        <f>INDEX(Cities!$CT$3:$DE$91,$C$2,1)</f>
        <v>2</v>
      </c>
      <c r="E44" s="191">
        <f>INDEX(Cities!$CT$3:$DE$91,$C$2,2)</f>
        <v>2.3999999999999986</v>
      </c>
      <c r="F44" s="191">
        <f>INDEX(Cities!$CT$3:$DE$91,$C$2,3)</f>
        <v>9.5999999999999943</v>
      </c>
      <c r="G44" s="191">
        <f>INDEX(Cities!$CT$3:$DE$91,$C$2,4)</f>
        <v>54.100000000000016</v>
      </c>
      <c r="H44" s="191">
        <f>INDEX(Cities!$CT$3:$DE$91,$C$2,5)</f>
        <v>290.5999999999998</v>
      </c>
      <c r="I44" s="191">
        <f>INDEX(Cities!$CT$3:$DE$91,$C$2,6)</f>
        <v>1266.2000000000012</v>
      </c>
      <c r="J44" s="191">
        <f>INDEX(Cities!$CT$3:$DE$91,$C$2,7)</f>
        <v>2953.0999999999931</v>
      </c>
      <c r="K44" s="191">
        <f>INDEX(Cities!$CT$3:$DE$91,$C$2,8)</f>
        <v>3032.9999999999973</v>
      </c>
      <c r="L44" s="191">
        <f>INDEX(Cities!$CT$3:$DE$91,$C$2,9)</f>
        <v>1937.8000000000009</v>
      </c>
      <c r="M44" s="191">
        <f>INDEX(Cities!$CT$3:$DE$91,$C$2,10)</f>
        <v>536.1999999999997</v>
      </c>
      <c r="N44" s="191">
        <f>INDEX(Cities!$CT$3:$DE$91,$C$2,11)</f>
        <v>17.199999999999989</v>
      </c>
      <c r="O44" s="192">
        <f>INDEX(Cities!$CT$3:$DE$91,$C$2,12)</f>
        <v>14.100000000000001</v>
      </c>
    </row>
    <row r="45" spans="1:17">
      <c r="A45" s="180"/>
      <c r="B45" s="143" t="s">
        <v>162</v>
      </c>
      <c r="C45" s="182" t="s">
        <v>166</v>
      </c>
      <c r="D45" s="190">
        <f>INDEX(Cities!$DF$3:$DQ$91,$C$2,1)</f>
        <v>0</v>
      </c>
      <c r="E45" s="191">
        <f>INDEX(Cities!$DF$3:$DQ$91,$C$2,2)</f>
        <v>0</v>
      </c>
      <c r="F45" s="191">
        <f>INDEX(Cities!$DF$3:$DQ$91,$C$2,3)</f>
        <v>0</v>
      </c>
      <c r="G45" s="191">
        <f>INDEX(Cities!$DF$3:$DQ$91,$C$2,4)</f>
        <v>0</v>
      </c>
      <c r="H45" s="191">
        <f>INDEX(Cities!$DF$3:$DQ$91,$C$2,5)</f>
        <v>0</v>
      </c>
      <c r="I45" s="191">
        <f>INDEX(Cities!$DF$3:$DQ$91,$C$2,6)</f>
        <v>22.6</v>
      </c>
      <c r="J45" s="191">
        <f>INDEX(Cities!$DF$3:$DQ$91,$C$2,7)</f>
        <v>252</v>
      </c>
      <c r="K45" s="191">
        <f>INDEX(Cities!$DF$3:$DQ$91,$C$2,8)</f>
        <v>301.00000000000017</v>
      </c>
      <c r="L45" s="191">
        <f>INDEX(Cities!$DF$3:$DQ$91,$C$2,9)</f>
        <v>135.20000000000002</v>
      </c>
      <c r="M45" s="191">
        <f>INDEX(Cities!$DF$3:$DQ$91,$C$2,10)</f>
        <v>1.0000000000000036</v>
      </c>
      <c r="N45" s="191">
        <f>INDEX(Cities!$DF$3:$DQ$91,$C$2,11)</f>
        <v>0</v>
      </c>
      <c r="O45" s="192">
        <f>INDEX(Cities!$DF$3:$DQ$91,$C$2,12)</f>
        <v>0</v>
      </c>
    </row>
    <row r="46" spans="1:17">
      <c r="A46" s="180"/>
      <c r="B46" s="143" t="s">
        <v>163</v>
      </c>
      <c r="C46" s="182" t="s">
        <v>167</v>
      </c>
      <c r="D46" s="190">
        <f>INDEX(Cities!$DR$3:$EC$91,$C$2,1)</f>
        <v>12794.600000000011</v>
      </c>
      <c r="E46" s="191">
        <f>INDEX(Cities!$DR$3:$EC$91,$C$2,2)</f>
        <v>11055.200000000013</v>
      </c>
      <c r="F46" s="191">
        <f>INDEX(Cities!$DR$3:$EC$91,$C$2,3)</f>
        <v>11120.800000000005</v>
      </c>
      <c r="G46" s="191">
        <f>INDEX(Cities!$DR$3:$EC$91,$C$2,4)</f>
        <v>9466.3999999999905</v>
      </c>
      <c r="H46" s="191">
        <f>INDEX(Cities!$DR$3:$EC$91,$C$2,5)</f>
        <v>7476.7999999999984</v>
      </c>
      <c r="I46" s="191">
        <f>INDEX(Cities!$DR$3:$EC$91,$C$2,6)</f>
        <v>4555.0000000000027</v>
      </c>
      <c r="J46" s="191">
        <f>INDEX(Cities!$DR$3:$EC$91,$C$2,7)</f>
        <v>2585.9000000000074</v>
      </c>
      <c r="K46" s="191">
        <f>INDEX(Cities!$DR$3:$EC$91,$C$2,8)</f>
        <v>2525.1000000000017</v>
      </c>
      <c r="L46" s="191">
        <f>INDEX(Cities!$DR$3:$EC$91,$C$2,9)</f>
        <v>3697.5000000000059</v>
      </c>
      <c r="M46" s="191">
        <f>INDEX(Cities!$DR$3:$EC$91,$C$2,10)</f>
        <v>6626.3000000000011</v>
      </c>
      <c r="N46" s="191">
        <f>INDEX(Cities!$DR$3:$EC$91,$C$2,11)</f>
        <v>9737.1000000000222</v>
      </c>
      <c r="O46" s="192">
        <f>INDEX(Cities!$DR$3:$EC$91,$C$2,12)</f>
        <v>12169.200000000003</v>
      </c>
    </row>
    <row r="47" spans="1:17">
      <c r="A47" s="180"/>
      <c r="B47" s="143" t="s">
        <v>35</v>
      </c>
      <c r="C47" s="182" t="s">
        <v>15</v>
      </c>
      <c r="D47" s="193">
        <f>INDEX(Cities!$Z$3:$AK$91,$C$2,1)</f>
        <v>2003.2258064516129</v>
      </c>
      <c r="E47" s="194">
        <f>INDEX(Cities!$Z$3:$AK$91,$C$2,2)</f>
        <v>2840.6785714285716</v>
      </c>
      <c r="F47" s="194">
        <f>INDEX(Cities!$Z$3:$AK$91,$C$2,3)</f>
        <v>3812.1612903225805</v>
      </c>
      <c r="G47" s="194">
        <f>INDEX(Cities!$Z$3:$AK$91,$C$2,4)</f>
        <v>4896.5333333333338</v>
      </c>
      <c r="H47" s="194">
        <f>INDEX(Cities!$Z$3:$AK$91,$C$2,5)</f>
        <v>5879.0645161290322</v>
      </c>
      <c r="I47" s="194">
        <f>INDEX(Cities!$Z$3:$AK$91,$C$2,6)</f>
        <v>6392.3</v>
      </c>
      <c r="J47" s="194">
        <f>INDEX(Cities!$Z$3:$AK$91,$C$2,7)</f>
        <v>6733.3870967741932</v>
      </c>
      <c r="K47" s="194">
        <f>INDEX(Cities!$Z$3:$AK$91,$C$2,8)</f>
        <v>5797.7096774193551</v>
      </c>
      <c r="L47" s="194">
        <f>INDEX(Cities!$Z$3:$AK$91,$C$2,9)</f>
        <v>4403.833333333333</v>
      </c>
      <c r="M47" s="194">
        <f>INDEX(Cities!$Z$3:$AK$91,$C$2,10)</f>
        <v>3211.0322580645161</v>
      </c>
      <c r="N47" s="194">
        <f>INDEX(Cities!$Z$3:$AK$91,$C$2,11)</f>
        <v>2217.1999999999998</v>
      </c>
      <c r="O47" s="195">
        <f>INDEX(Cities!$Z$3:$AK$91,$C$2,12)</f>
        <v>1825.0645161290322</v>
      </c>
    </row>
    <row r="48" spans="1:17">
      <c r="A48" s="180"/>
      <c r="B48" s="143" t="s">
        <v>5</v>
      </c>
      <c r="C48" s="182" t="s">
        <v>15</v>
      </c>
      <c r="D48" s="193">
        <f>INDEX(Cities!$AL$3:$AW$91,$C$2,1)</f>
        <v>3606.3865268394024</v>
      </c>
      <c r="E48" s="194">
        <f>INDEX(Cities!$AL$3:$AW$91,$C$2,2)</f>
        <v>3774.7226480358649</v>
      </c>
      <c r="F48" s="194">
        <f>INDEX(Cities!$AL$3:$AW$91,$C$2,3)</f>
        <v>3448.4832340465614</v>
      </c>
      <c r="G48" s="194">
        <f>INDEX(Cities!$AL$3:$AW$91,$C$2,4)</f>
        <v>2971.2759664485907</v>
      </c>
      <c r="H48" s="194">
        <f>INDEX(Cities!$AL$3:$AW$91,$C$2,5)</f>
        <v>2704.0057931488755</v>
      </c>
      <c r="I48" s="194">
        <f>INDEX(Cities!$AL$3:$AW$91,$C$2,6)</f>
        <v>2599.4068884916996</v>
      </c>
      <c r="J48" s="194">
        <f>INDEX(Cities!$AL$3:$AW$91,$C$2,7)</f>
        <v>2803.6750956541755</v>
      </c>
      <c r="K48" s="194">
        <f>INDEX(Cities!$AL$3:$AW$91,$C$2,8)</f>
        <v>3085.0663671944226</v>
      </c>
      <c r="L48" s="194">
        <f>INDEX(Cities!$AL$3:$AW$91,$C$2,9)</f>
        <v>3407.8400744110631</v>
      </c>
      <c r="M48" s="194">
        <f>INDEX(Cities!$AL$3:$AW$91,$C$2,10)</f>
        <v>3802.1290085131577</v>
      </c>
      <c r="N48" s="194">
        <f>INDEX(Cities!$AL$3:$AW$91,$C$2,11)</f>
        <v>3700.371954387836</v>
      </c>
      <c r="O48" s="195">
        <f>INDEX(Cities!$AL$3:$AW$91,$C$2,12)</f>
        <v>3633.4884457396033</v>
      </c>
    </row>
    <row r="49" spans="1:16">
      <c r="A49" s="180"/>
      <c r="B49" s="143" t="s">
        <v>86</v>
      </c>
      <c r="C49" s="182" t="s">
        <v>15</v>
      </c>
      <c r="D49" s="193">
        <f>INDEX(Cities!$AW$3:$BI$91,$C$2,1)</f>
        <v>3633.4884457396033</v>
      </c>
      <c r="E49" s="194">
        <f>INDEX(Cities!$AW$3:$BI$91,$C$2,2)</f>
        <v>2820.2669200540731</v>
      </c>
      <c r="F49" s="194">
        <f>INDEX(Cities!$AW$3:$BI$91,$C$2,3)</f>
        <v>3177.7176232464308</v>
      </c>
      <c r="G49" s="194">
        <f>INDEX(Cities!$AW$3:$BI$91,$C$2,4)</f>
        <v>3315.3171581535676</v>
      </c>
      <c r="H49" s="194">
        <f>INDEX(Cities!$AW$3:$BI$91,$C$2,5)</f>
        <v>3385.3886842904831</v>
      </c>
      <c r="I49" s="194">
        <f>INDEX(Cities!$AW$3:$BI$91,$C$2,6)</f>
        <v>3434.4428307573007</v>
      </c>
      <c r="J49" s="194">
        <f>INDEX(Cities!$AW$3:$BI$91,$C$2,7)</f>
        <v>3442.5193458205613</v>
      </c>
      <c r="K49" s="194">
        <f>INDEX(Cities!$AW$3:$BI$91,$C$2,8)</f>
        <v>3740.5786833308293</v>
      </c>
      <c r="L49" s="194">
        <f>INDEX(Cities!$AW$3:$BI$91,$C$2,9)</f>
        <v>3748.6608810965454</v>
      </c>
      <c r="M49" s="194">
        <f>INDEX(Cities!$AW$3:$BI$91,$C$2,10)</f>
        <v>3517.9855295499065</v>
      </c>
      <c r="N49" s="194">
        <f>INDEX(Cities!$AW$3:$BI$91,$C$2,11)</f>
        <v>3320.3683706808783</v>
      </c>
      <c r="O49" s="195">
        <f>INDEX(Cities!$AW$3:$BI$91,$C$2,12)</f>
        <v>2940.2937802394035</v>
      </c>
    </row>
    <row r="50" spans="1:16">
      <c r="A50" s="180"/>
      <c r="B50" s="143" t="s">
        <v>7</v>
      </c>
      <c r="C50" s="182" t="s">
        <v>15</v>
      </c>
      <c r="D50" s="193">
        <f>INDEX(Cities!$BJ$3:$BU$91,$C$2,1)</f>
        <v>1614.9882164504893</v>
      </c>
      <c r="E50" s="194">
        <f>INDEX(Cities!$BJ$3:$BU$91,$C$2,2)</f>
        <v>2155.7866809529323</v>
      </c>
      <c r="F50" s="194">
        <f>INDEX(Cities!$BJ$3:$BU$91,$C$2,3)</f>
        <v>2705.1273301259735</v>
      </c>
      <c r="G50" s="194">
        <f>INDEX(Cities!$BJ$3:$BU$91,$C$2,4)</f>
        <v>3277.4062001598677</v>
      </c>
      <c r="H50" s="194">
        <f>INDEX(Cities!$BJ$3:$BU$91,$C$2,5)</f>
        <v>3782.1982990500937</v>
      </c>
      <c r="I50" s="194">
        <f>INDEX(Cities!$BJ$3:$BU$91,$C$2,6)</f>
        <v>4039.7991352966615</v>
      </c>
      <c r="J50" s="194">
        <f>INDEX(Cities!$BJ$3:$BU$91,$C$2,7)</f>
        <v>4308.3182790025903</v>
      </c>
      <c r="K50" s="194">
        <f>INDEX(Cities!$BJ$3:$BU$91,$C$2,8)</f>
        <v>3840.2899524140698</v>
      </c>
      <c r="L50" s="194">
        <f>INDEX(Cities!$BJ$3:$BU$91,$C$2,9)</f>
        <v>3065.4937047958447</v>
      </c>
      <c r="M50" s="194">
        <f>INDEX(Cities!$BJ$3:$BU$91,$C$2,10)</f>
        <v>2389.5848333394401</v>
      </c>
      <c r="N50" s="194">
        <f>INDEX(Cities!$BJ$3:$BU$91,$C$2,11)</f>
        <v>1760.6233088913568</v>
      </c>
      <c r="O50" s="195">
        <f>INDEX(Cities!$BJ$3:$BU$91,$C$2,12)</f>
        <v>1506.9376924968883</v>
      </c>
    </row>
    <row r="51" spans="1:16">
      <c r="A51" s="180"/>
      <c r="B51" s="143" t="s">
        <v>6</v>
      </c>
      <c r="C51" s="182" t="s">
        <v>15</v>
      </c>
      <c r="D51" s="193">
        <f>INDEX(Cities!$BV$3:$CG$91,$C$2,1)</f>
        <v>585.26248581011748</v>
      </c>
      <c r="E51" s="194">
        <f>INDEX(Cities!$BV$3:$CG$91,$C$2,2)</f>
        <v>820.54885536140819</v>
      </c>
      <c r="F51" s="194">
        <f>INDEX(Cities!$BV$3:$CG$91,$C$2,3)</f>
        <v>1126.729426200453</v>
      </c>
      <c r="G51" s="194">
        <f>INDEX(Cities!$BV$3:$CG$91,$C$2,4)</f>
        <v>1464.3119646230564</v>
      </c>
      <c r="H51" s="194">
        <f>INDEX(Cities!$BV$3:$CG$91,$C$2,5)</f>
        <v>1727.8218769146777</v>
      </c>
      <c r="I51" s="194">
        <f>INDEX(Cities!$BV$3:$CG$91,$C$2,6)</f>
        <v>1844.484788454349</v>
      </c>
      <c r="J51" s="194">
        <f>INDEX(Cities!$BV$3:$CG$91,$C$2,7)</f>
        <v>1801.2230441335726</v>
      </c>
      <c r="K51" s="194">
        <f>INDEX(Cities!$BV$3:$CG$91,$C$2,8)</f>
        <v>1586.8659828071732</v>
      </c>
      <c r="L51" s="194">
        <f>INDEX(Cities!$BV$3:$CG$91,$C$2,9)</f>
        <v>1258.6086521333204</v>
      </c>
      <c r="M51" s="194">
        <f>INDEX(Cities!$BV$3:$CG$91,$C$2,10)</f>
        <v>914.28613241797052</v>
      </c>
      <c r="N51" s="194">
        <f>INDEX(Cities!$BV$3:$CG$91,$C$2,11)</f>
        <v>640.97861115355602</v>
      </c>
      <c r="O51" s="195">
        <f>INDEX(Cities!$BV$3:$CG$91,$C$2,12)</f>
        <v>525.9473642372061</v>
      </c>
    </row>
    <row r="52" spans="1:16">
      <c r="A52" s="196"/>
      <c r="B52" s="143" t="s">
        <v>8</v>
      </c>
      <c r="C52" s="182" t="s">
        <v>15</v>
      </c>
      <c r="D52" s="193">
        <f>INDEX(Cities!$Z$3:$AK$91,$C$2,1)</f>
        <v>2003.2258064516129</v>
      </c>
      <c r="E52" s="194">
        <f>INDEX(Cities!$Z$3:$AK$91,$C$2,2)</f>
        <v>2840.6785714285716</v>
      </c>
      <c r="F52" s="194">
        <f>INDEX(Cities!$Z$3:$AK$91,$C$2,3)</f>
        <v>3812.1612903225805</v>
      </c>
      <c r="G52" s="194">
        <f>INDEX(Cities!$Z$3:$AK$91,$C$2,4)</f>
        <v>4896.5333333333338</v>
      </c>
      <c r="H52" s="194">
        <f>INDEX(Cities!$Z$3:$AK$91,$C$2,5)</f>
        <v>5879.0645161290322</v>
      </c>
      <c r="I52" s="194">
        <f>INDEX(Cities!$Z$3:$AK$91,$C$2,6)</f>
        <v>6392.3</v>
      </c>
      <c r="J52" s="194">
        <f>INDEX(Cities!$Z$3:$AK$91,$C$2,7)</f>
        <v>6733.3870967741932</v>
      </c>
      <c r="K52" s="194">
        <f>INDEX(Cities!$Z$3:$AK$91,$C$2,8)</f>
        <v>5797.7096774193551</v>
      </c>
      <c r="L52" s="194">
        <f>INDEX(Cities!$Z$3:$AK$91,$C$2,9)</f>
        <v>4403.833333333333</v>
      </c>
      <c r="M52" s="194">
        <f>INDEX(Cities!$Z$3:$AK$91,$C$2,10)</f>
        <v>3211.0322580645161</v>
      </c>
      <c r="N52" s="194">
        <f>INDEX(Cities!$Z$3:$AK$91,$C$2,11)</f>
        <v>2217.1999999999998</v>
      </c>
      <c r="O52" s="195">
        <f>INDEX(Cities!$Z$3:$AK$91,$C$2,12)</f>
        <v>1825.0645161290322</v>
      </c>
    </row>
    <row r="53" spans="1:16" ht="15" thickBot="1">
      <c r="A53" s="161"/>
      <c r="B53" s="144" t="s">
        <v>91</v>
      </c>
      <c r="C53" s="197" t="s">
        <v>15</v>
      </c>
      <c r="D53" s="198">
        <f>INDEX(Cities!$AW$3:$BI$91,$C$2,1)</f>
        <v>3633.4884457396033</v>
      </c>
      <c r="E53" s="199">
        <f>INDEX(Cities!$AW$3:$BI$91,$C$2,2)</f>
        <v>2820.2669200540731</v>
      </c>
      <c r="F53" s="199">
        <f>INDEX(Cities!$AW$3:$BI$91,$C$2,3)</f>
        <v>3177.7176232464308</v>
      </c>
      <c r="G53" s="199">
        <f>INDEX(Cities!$AW$3:$BI$91,$C$2,4)</f>
        <v>3315.3171581535676</v>
      </c>
      <c r="H53" s="199">
        <f>INDEX(Cities!$AW$3:$BI$91,$C$2,5)</f>
        <v>3385.3886842904831</v>
      </c>
      <c r="I53" s="199">
        <f>INDEX(Cities!$AW$3:$BI$91,$C$2,6)</f>
        <v>3434.4428307573007</v>
      </c>
      <c r="J53" s="199">
        <f>INDEX(Cities!$AW$3:$BI$91,$C$2,7)</f>
        <v>3442.5193458205613</v>
      </c>
      <c r="K53" s="199">
        <f>INDEX(Cities!$AW$3:$BI$91,$C$2,8)</f>
        <v>3740.5786833308293</v>
      </c>
      <c r="L53" s="199">
        <f>INDEX(Cities!$AW$3:$BI$91,$C$2,9)</f>
        <v>3748.6608810965454</v>
      </c>
      <c r="M53" s="199">
        <f>INDEX(Cities!$AW$3:$BI$91,$C$2,10)</f>
        <v>3517.9855295499065</v>
      </c>
      <c r="N53" s="199">
        <f>INDEX(Cities!$AW$3:$BI$91,$C$2,11)</f>
        <v>3320.3683706808783</v>
      </c>
      <c r="O53" s="200">
        <f>INDEX(Cities!$AW$3:$BI$91,$C$2,12)</f>
        <v>2940.2937802394035</v>
      </c>
    </row>
    <row r="54" spans="1:16">
      <c r="A54" s="265" t="s">
        <v>20</v>
      </c>
      <c r="B54" s="201" t="s">
        <v>179</v>
      </c>
      <c r="C54" s="202" t="s">
        <v>16</v>
      </c>
      <c r="D54" s="203">
        <f>$P$28</f>
        <v>3709.1089999999999</v>
      </c>
      <c r="E54" s="259">
        <f t="shared" ref="E54:O54" si="10">$P$28</f>
        <v>3709.1089999999999</v>
      </c>
      <c r="F54" s="259">
        <f t="shared" si="10"/>
        <v>3709.1089999999999</v>
      </c>
      <c r="G54" s="259">
        <f t="shared" si="10"/>
        <v>3709.1089999999999</v>
      </c>
      <c r="H54" s="259">
        <f t="shared" si="10"/>
        <v>3709.1089999999999</v>
      </c>
      <c r="I54" s="259">
        <f t="shared" si="10"/>
        <v>3709.1089999999999</v>
      </c>
      <c r="J54" s="259">
        <f t="shared" si="10"/>
        <v>3709.1089999999999</v>
      </c>
      <c r="K54" s="259">
        <f t="shared" si="10"/>
        <v>3709.1089999999999</v>
      </c>
      <c r="L54" s="259">
        <f t="shared" si="10"/>
        <v>3709.1089999999999</v>
      </c>
      <c r="M54" s="259">
        <f t="shared" si="10"/>
        <v>3709.1089999999999</v>
      </c>
      <c r="N54" s="259">
        <f t="shared" si="10"/>
        <v>3709.1089999999999</v>
      </c>
      <c r="O54" s="260">
        <f t="shared" si="10"/>
        <v>3709.1089999999999</v>
      </c>
    </row>
    <row r="55" spans="1:16">
      <c r="A55" s="266"/>
      <c r="B55" s="246" t="s">
        <v>218</v>
      </c>
      <c r="C55" s="247" t="s">
        <v>220</v>
      </c>
      <c r="D55" s="193">
        <f>D38*24*$Q$28*(D41-D40)/1000</f>
        <v>5019.6936000000005</v>
      </c>
      <c r="E55" s="194">
        <f t="shared" ref="E55:O55" si="11">E38*24*$Q$28*(E41-E40)/1000</f>
        <v>3989.1264000000001</v>
      </c>
      <c r="F55" s="194">
        <f t="shared" si="11"/>
        <v>3245.1047999999996</v>
      </c>
      <c r="G55" s="194">
        <f t="shared" si="11"/>
        <v>2064.6719999999996</v>
      </c>
      <c r="H55" s="194">
        <f t="shared" si="11"/>
        <v>34.893600000000141</v>
      </c>
      <c r="I55" s="194">
        <f t="shared" si="11"/>
        <v>-1037.1599999999994</v>
      </c>
      <c r="J55" s="194">
        <f t="shared" si="11"/>
        <v>-1375.8048000000008</v>
      </c>
      <c r="K55" s="194">
        <f t="shared" si="11"/>
        <v>-812.52239999999961</v>
      </c>
      <c r="L55" s="194">
        <f t="shared" si="11"/>
        <v>463.10400000000038</v>
      </c>
      <c r="M55" s="194">
        <f t="shared" si="11"/>
        <v>2093.6159999999995</v>
      </c>
      <c r="N55" s="194">
        <f t="shared" si="11"/>
        <v>3564.9360000000006</v>
      </c>
      <c r="O55" s="195">
        <f t="shared" si="11"/>
        <v>4735.5600000000004</v>
      </c>
      <c r="P55" s="110" t="s">
        <v>240</v>
      </c>
    </row>
    <row r="56" spans="1:16">
      <c r="A56" s="266"/>
      <c r="B56" s="204" t="s">
        <v>178</v>
      </c>
      <c r="C56" s="205" t="s">
        <v>16</v>
      </c>
      <c r="D56" s="193">
        <f>$P$28</f>
        <v>3709.1089999999999</v>
      </c>
      <c r="E56" s="194">
        <f t="shared" ref="E56:O56" si="12">$P$28</f>
        <v>3709.1089999999999</v>
      </c>
      <c r="F56" s="194">
        <f t="shared" si="12"/>
        <v>3709.1089999999999</v>
      </c>
      <c r="G56" s="194">
        <f t="shared" si="12"/>
        <v>3709.1089999999999</v>
      </c>
      <c r="H56" s="194">
        <f t="shared" si="12"/>
        <v>3709.1089999999999</v>
      </c>
      <c r="I56" s="194">
        <f t="shared" si="12"/>
        <v>3709.1089999999999</v>
      </c>
      <c r="J56" s="194">
        <f t="shared" si="12"/>
        <v>3709.1089999999999</v>
      </c>
      <c r="K56" s="194">
        <f t="shared" si="12"/>
        <v>3709.1089999999999</v>
      </c>
      <c r="L56" s="194">
        <f t="shared" si="12"/>
        <v>3709.1089999999999</v>
      </c>
      <c r="M56" s="194">
        <f t="shared" si="12"/>
        <v>3709.1089999999999</v>
      </c>
      <c r="N56" s="194">
        <f t="shared" si="12"/>
        <v>3709.1089999999999</v>
      </c>
      <c r="O56" s="195">
        <f t="shared" si="12"/>
        <v>3709.1089999999999</v>
      </c>
    </row>
    <row r="57" spans="1:16">
      <c r="A57" s="266"/>
      <c r="B57" s="246" t="s">
        <v>219</v>
      </c>
      <c r="C57" s="247" t="s">
        <v>220</v>
      </c>
      <c r="D57" s="193">
        <f>D38*24*$Q$28*(D40-D42)/1000</f>
        <v>-8509.0535999999993</v>
      </c>
      <c r="E57" s="194">
        <f t="shared" ref="E57:O57" si="13">E38*24*$Q$28*(E40-E42)/1000</f>
        <v>-7140.8063999999995</v>
      </c>
      <c r="F57" s="194">
        <f t="shared" si="13"/>
        <v>-6734.4647999999997</v>
      </c>
      <c r="G57" s="194">
        <f t="shared" si="13"/>
        <v>-5441.4719999999998</v>
      </c>
      <c r="H57" s="194">
        <f t="shared" si="13"/>
        <v>-3524.2536</v>
      </c>
      <c r="I57" s="194">
        <f t="shared" si="13"/>
        <v>-2339.6400000000003</v>
      </c>
      <c r="J57" s="194">
        <f t="shared" si="13"/>
        <v>-2113.5551999999993</v>
      </c>
      <c r="K57" s="194">
        <f t="shared" si="13"/>
        <v>-2676.8376000000007</v>
      </c>
      <c r="L57" s="194">
        <f t="shared" si="13"/>
        <v>-3839.9040000000005</v>
      </c>
      <c r="M57" s="194">
        <f t="shared" si="13"/>
        <v>-5582.9759999999997</v>
      </c>
      <c r="N57" s="194">
        <f t="shared" si="13"/>
        <v>-6941.7359999999999</v>
      </c>
      <c r="O57" s="195">
        <f t="shared" si="13"/>
        <v>-8224.92</v>
      </c>
      <c r="P57" s="110" t="s">
        <v>241</v>
      </c>
    </row>
    <row r="58" spans="1:16">
      <c r="A58" s="266"/>
      <c r="B58" s="204" t="s">
        <v>150</v>
      </c>
      <c r="C58" s="205" t="s">
        <v>16</v>
      </c>
      <c r="D58" s="193">
        <f t="shared" ref="D58:O58" si="14">$P$31</f>
        <v>726.36750000000018</v>
      </c>
      <c r="E58" s="194">
        <f t="shared" si="14"/>
        <v>726.36750000000018</v>
      </c>
      <c r="F58" s="194">
        <f t="shared" si="14"/>
        <v>726.36750000000018</v>
      </c>
      <c r="G58" s="194">
        <f t="shared" si="14"/>
        <v>726.36750000000018</v>
      </c>
      <c r="H58" s="194">
        <f t="shared" si="14"/>
        <v>726.36750000000018</v>
      </c>
      <c r="I58" s="194">
        <f t="shared" si="14"/>
        <v>726.36750000000018</v>
      </c>
      <c r="J58" s="194">
        <f t="shared" si="14"/>
        <v>726.36750000000018</v>
      </c>
      <c r="K58" s="194">
        <f t="shared" si="14"/>
        <v>726.36750000000018</v>
      </c>
      <c r="L58" s="194">
        <f t="shared" si="14"/>
        <v>726.36750000000018</v>
      </c>
      <c r="M58" s="194">
        <f t="shared" si="14"/>
        <v>726.36750000000018</v>
      </c>
      <c r="N58" s="194">
        <f t="shared" si="14"/>
        <v>726.36750000000018</v>
      </c>
      <c r="O58" s="195">
        <f t="shared" si="14"/>
        <v>726.36750000000018</v>
      </c>
    </row>
    <row r="59" spans="1:16">
      <c r="A59" s="266"/>
      <c r="B59" s="204" t="s">
        <v>149</v>
      </c>
      <c r="C59" s="205" t="s">
        <v>16</v>
      </c>
      <c r="D59" s="193">
        <f t="shared" ref="D59:O59" si="15">$P$32</f>
        <v>4358.2050000000008</v>
      </c>
      <c r="E59" s="194">
        <f t="shared" si="15"/>
        <v>4358.2050000000008</v>
      </c>
      <c r="F59" s="194">
        <f t="shared" si="15"/>
        <v>4358.2050000000008</v>
      </c>
      <c r="G59" s="194">
        <f t="shared" si="15"/>
        <v>4358.2050000000008</v>
      </c>
      <c r="H59" s="194">
        <f t="shared" si="15"/>
        <v>4358.2050000000008</v>
      </c>
      <c r="I59" s="194">
        <f t="shared" si="15"/>
        <v>4358.2050000000008</v>
      </c>
      <c r="J59" s="194">
        <f t="shared" si="15"/>
        <v>4358.2050000000008</v>
      </c>
      <c r="K59" s="194">
        <f t="shared" si="15"/>
        <v>4358.2050000000008</v>
      </c>
      <c r="L59" s="194">
        <f t="shared" si="15"/>
        <v>4358.2050000000008</v>
      </c>
      <c r="M59" s="194">
        <f t="shared" si="15"/>
        <v>4358.2050000000008</v>
      </c>
      <c r="N59" s="194">
        <f t="shared" si="15"/>
        <v>4358.2050000000008</v>
      </c>
      <c r="O59" s="195">
        <f t="shared" si="15"/>
        <v>4358.2050000000008</v>
      </c>
    </row>
    <row r="60" spans="1:16">
      <c r="A60" s="266"/>
      <c r="B60" s="204" t="s">
        <v>66</v>
      </c>
      <c r="C60" s="205" t="s">
        <v>4</v>
      </c>
      <c r="D60" s="193">
        <f>$J$35</f>
        <v>0</v>
      </c>
      <c r="E60" s="194">
        <f t="shared" ref="E60:O60" si="16">$J$35</f>
        <v>0</v>
      </c>
      <c r="F60" s="194">
        <f t="shared" si="16"/>
        <v>0</v>
      </c>
      <c r="G60" s="194">
        <f t="shared" si="16"/>
        <v>0</v>
      </c>
      <c r="H60" s="194">
        <f t="shared" si="16"/>
        <v>0</v>
      </c>
      <c r="I60" s="194">
        <f t="shared" si="16"/>
        <v>0</v>
      </c>
      <c r="J60" s="194">
        <f t="shared" si="16"/>
        <v>0</v>
      </c>
      <c r="K60" s="194">
        <f t="shared" si="16"/>
        <v>0</v>
      </c>
      <c r="L60" s="194">
        <f t="shared" si="16"/>
        <v>0</v>
      </c>
      <c r="M60" s="194">
        <f t="shared" si="16"/>
        <v>0</v>
      </c>
      <c r="N60" s="194">
        <f t="shared" si="16"/>
        <v>0</v>
      </c>
      <c r="O60" s="195">
        <f t="shared" si="16"/>
        <v>0</v>
      </c>
    </row>
    <row r="61" spans="1:16">
      <c r="A61" s="266"/>
      <c r="B61" s="204" t="s">
        <v>68</v>
      </c>
      <c r="C61" s="205" t="s">
        <v>4</v>
      </c>
      <c r="D61" s="206">
        <f>$D$35</f>
        <v>0.96074999999999999</v>
      </c>
      <c r="E61" s="207">
        <f t="shared" ref="E61:O61" si="17">$D$35</f>
        <v>0.96074999999999999</v>
      </c>
      <c r="F61" s="207">
        <f t="shared" si="17"/>
        <v>0.96074999999999999</v>
      </c>
      <c r="G61" s="207">
        <f t="shared" si="17"/>
        <v>0.96074999999999999</v>
      </c>
      <c r="H61" s="207">
        <f t="shared" si="17"/>
        <v>0.96074999999999999</v>
      </c>
      <c r="I61" s="207">
        <f t="shared" si="17"/>
        <v>0.96074999999999999</v>
      </c>
      <c r="J61" s="207">
        <f t="shared" si="17"/>
        <v>0.96074999999999999</v>
      </c>
      <c r="K61" s="207">
        <f t="shared" si="17"/>
        <v>0.96074999999999999</v>
      </c>
      <c r="L61" s="207">
        <f t="shared" si="17"/>
        <v>0.96074999999999999</v>
      </c>
      <c r="M61" s="207">
        <f t="shared" si="17"/>
        <v>0.96074999999999999</v>
      </c>
      <c r="N61" s="207">
        <f t="shared" si="17"/>
        <v>0.96074999999999999</v>
      </c>
      <c r="O61" s="208">
        <f t="shared" si="17"/>
        <v>0.96074999999999999</v>
      </c>
    </row>
    <row r="62" spans="1:16">
      <c r="A62" s="266"/>
      <c r="B62" s="204" t="s">
        <v>87</v>
      </c>
      <c r="C62" s="205" t="s">
        <v>4</v>
      </c>
      <c r="D62" s="206">
        <f>$E$35</f>
        <v>0</v>
      </c>
      <c r="E62" s="207">
        <f t="shared" ref="E62:O62" si="18">$E$35</f>
        <v>0</v>
      </c>
      <c r="F62" s="207">
        <f t="shared" si="18"/>
        <v>0</v>
      </c>
      <c r="G62" s="207">
        <f t="shared" si="18"/>
        <v>0</v>
      </c>
      <c r="H62" s="207">
        <f t="shared" si="18"/>
        <v>0</v>
      </c>
      <c r="I62" s="207">
        <f t="shared" si="18"/>
        <v>0</v>
      </c>
      <c r="J62" s="207">
        <f t="shared" si="18"/>
        <v>0</v>
      </c>
      <c r="K62" s="207">
        <f t="shared" si="18"/>
        <v>0</v>
      </c>
      <c r="L62" s="207">
        <f t="shared" si="18"/>
        <v>0</v>
      </c>
      <c r="M62" s="207">
        <f t="shared" si="18"/>
        <v>0</v>
      </c>
      <c r="N62" s="207">
        <f t="shared" si="18"/>
        <v>0</v>
      </c>
      <c r="O62" s="208">
        <f t="shared" si="18"/>
        <v>0</v>
      </c>
    </row>
    <row r="63" spans="1:16">
      <c r="A63" s="266"/>
      <c r="B63" s="204" t="s">
        <v>69</v>
      </c>
      <c r="C63" s="205" t="s">
        <v>4</v>
      </c>
      <c r="D63" s="206">
        <f>$F$35</f>
        <v>16.84515</v>
      </c>
      <c r="E63" s="207">
        <f t="shared" ref="E63:O63" si="19">$F$35</f>
        <v>16.84515</v>
      </c>
      <c r="F63" s="207">
        <f t="shared" si="19"/>
        <v>16.84515</v>
      </c>
      <c r="G63" s="207">
        <f t="shared" si="19"/>
        <v>16.84515</v>
      </c>
      <c r="H63" s="207">
        <f t="shared" si="19"/>
        <v>16.84515</v>
      </c>
      <c r="I63" s="207">
        <f t="shared" si="19"/>
        <v>16.84515</v>
      </c>
      <c r="J63" s="207">
        <f t="shared" si="19"/>
        <v>16.84515</v>
      </c>
      <c r="K63" s="207">
        <f t="shared" si="19"/>
        <v>16.84515</v>
      </c>
      <c r="L63" s="207">
        <f t="shared" si="19"/>
        <v>16.84515</v>
      </c>
      <c r="M63" s="207">
        <f t="shared" si="19"/>
        <v>16.84515</v>
      </c>
      <c r="N63" s="207">
        <f t="shared" si="19"/>
        <v>16.84515</v>
      </c>
      <c r="O63" s="208">
        <f t="shared" si="19"/>
        <v>16.84515</v>
      </c>
    </row>
    <row r="64" spans="1:16">
      <c r="A64" s="266"/>
      <c r="B64" s="204" t="s">
        <v>70</v>
      </c>
      <c r="C64" s="205" t="s">
        <v>4</v>
      </c>
      <c r="D64" s="206">
        <f>$G$35</f>
        <v>24.659249999999997</v>
      </c>
      <c r="E64" s="207">
        <f t="shared" ref="E64:O64" si="20">$G$35</f>
        <v>24.659249999999997</v>
      </c>
      <c r="F64" s="207">
        <f t="shared" si="20"/>
        <v>24.659249999999997</v>
      </c>
      <c r="G64" s="207">
        <f t="shared" si="20"/>
        <v>24.659249999999997</v>
      </c>
      <c r="H64" s="207">
        <f t="shared" si="20"/>
        <v>24.659249999999997</v>
      </c>
      <c r="I64" s="207">
        <f t="shared" si="20"/>
        <v>24.659249999999997</v>
      </c>
      <c r="J64" s="207">
        <f t="shared" si="20"/>
        <v>24.659249999999997</v>
      </c>
      <c r="K64" s="207">
        <f t="shared" si="20"/>
        <v>24.659249999999997</v>
      </c>
      <c r="L64" s="207">
        <f t="shared" si="20"/>
        <v>24.659249999999997</v>
      </c>
      <c r="M64" s="207">
        <f t="shared" si="20"/>
        <v>24.659249999999997</v>
      </c>
      <c r="N64" s="207">
        <f t="shared" si="20"/>
        <v>24.659249999999997</v>
      </c>
      <c r="O64" s="208">
        <f t="shared" si="20"/>
        <v>24.659249999999997</v>
      </c>
    </row>
    <row r="65" spans="1:16">
      <c r="A65" s="266"/>
      <c r="B65" s="204" t="s">
        <v>71</v>
      </c>
      <c r="C65" s="205" t="s">
        <v>4</v>
      </c>
      <c r="D65" s="206">
        <f>$H$35</f>
        <v>16.84515</v>
      </c>
      <c r="E65" s="207">
        <f t="shared" ref="E65:O65" si="21">$H$35</f>
        <v>16.84515</v>
      </c>
      <c r="F65" s="207">
        <f t="shared" si="21"/>
        <v>16.84515</v>
      </c>
      <c r="G65" s="207">
        <f t="shared" si="21"/>
        <v>16.84515</v>
      </c>
      <c r="H65" s="207">
        <f t="shared" si="21"/>
        <v>16.84515</v>
      </c>
      <c r="I65" s="207">
        <f t="shared" si="21"/>
        <v>16.84515</v>
      </c>
      <c r="J65" s="207">
        <f t="shared" si="21"/>
        <v>16.84515</v>
      </c>
      <c r="K65" s="207">
        <f t="shared" si="21"/>
        <v>16.84515</v>
      </c>
      <c r="L65" s="207">
        <f t="shared" si="21"/>
        <v>16.84515</v>
      </c>
      <c r="M65" s="207">
        <f t="shared" si="21"/>
        <v>16.84515</v>
      </c>
      <c r="N65" s="207">
        <f t="shared" si="21"/>
        <v>16.84515</v>
      </c>
      <c r="O65" s="208">
        <f t="shared" si="21"/>
        <v>16.84515</v>
      </c>
    </row>
    <row r="66" spans="1:16">
      <c r="A66" s="266"/>
      <c r="B66" s="204" t="s">
        <v>92</v>
      </c>
      <c r="C66" s="205" t="s">
        <v>4</v>
      </c>
      <c r="D66" s="206">
        <f>$I$35</f>
        <v>0</v>
      </c>
      <c r="E66" s="207">
        <f t="shared" ref="E66:O66" si="22">$I$35</f>
        <v>0</v>
      </c>
      <c r="F66" s="207">
        <f t="shared" si="22"/>
        <v>0</v>
      </c>
      <c r="G66" s="207">
        <f t="shared" si="22"/>
        <v>0</v>
      </c>
      <c r="H66" s="207">
        <f t="shared" si="22"/>
        <v>0</v>
      </c>
      <c r="I66" s="207">
        <f t="shared" si="22"/>
        <v>0</v>
      </c>
      <c r="J66" s="207">
        <f t="shared" si="22"/>
        <v>0</v>
      </c>
      <c r="K66" s="207">
        <f t="shared" si="22"/>
        <v>0</v>
      </c>
      <c r="L66" s="207">
        <f t="shared" si="22"/>
        <v>0</v>
      </c>
      <c r="M66" s="207">
        <f t="shared" si="22"/>
        <v>0</v>
      </c>
      <c r="N66" s="207">
        <f t="shared" si="22"/>
        <v>0</v>
      </c>
      <c r="O66" s="208">
        <f t="shared" si="22"/>
        <v>0</v>
      </c>
    </row>
    <row r="67" spans="1:16">
      <c r="A67" s="266"/>
      <c r="B67" s="204" t="s">
        <v>67</v>
      </c>
      <c r="C67" s="205" t="s">
        <v>4</v>
      </c>
      <c r="D67" s="206">
        <f>$J$36</f>
        <v>30.195</v>
      </c>
      <c r="E67" s="207">
        <f t="shared" ref="E67:O67" si="23">$J$36</f>
        <v>30.195</v>
      </c>
      <c r="F67" s="207">
        <f t="shared" si="23"/>
        <v>30.195</v>
      </c>
      <c r="G67" s="207">
        <f t="shared" si="23"/>
        <v>30.195</v>
      </c>
      <c r="H67" s="207">
        <f t="shared" si="23"/>
        <v>30.195</v>
      </c>
      <c r="I67" s="207">
        <f t="shared" si="23"/>
        <v>30.195</v>
      </c>
      <c r="J67" s="207">
        <f t="shared" si="23"/>
        <v>30.195</v>
      </c>
      <c r="K67" s="207">
        <f t="shared" si="23"/>
        <v>30.195</v>
      </c>
      <c r="L67" s="207">
        <f t="shared" si="23"/>
        <v>30.195</v>
      </c>
      <c r="M67" s="207">
        <f t="shared" si="23"/>
        <v>30.195</v>
      </c>
      <c r="N67" s="207">
        <f t="shared" si="23"/>
        <v>30.195</v>
      </c>
      <c r="O67" s="208">
        <f t="shared" si="23"/>
        <v>30.195</v>
      </c>
    </row>
    <row r="68" spans="1:16">
      <c r="A68" s="266"/>
      <c r="B68" s="204" t="s">
        <v>72</v>
      </c>
      <c r="C68" s="205" t="s">
        <v>4</v>
      </c>
      <c r="D68" s="206">
        <f>$D$36</f>
        <v>7.2200249999999997</v>
      </c>
      <c r="E68" s="207">
        <f t="shared" ref="E68:O68" si="24">$D$36</f>
        <v>7.2200249999999997</v>
      </c>
      <c r="F68" s="207">
        <f t="shared" si="24"/>
        <v>7.2200249999999997</v>
      </c>
      <c r="G68" s="207">
        <f t="shared" si="24"/>
        <v>7.2200249999999997</v>
      </c>
      <c r="H68" s="207">
        <f t="shared" si="24"/>
        <v>7.2200249999999997</v>
      </c>
      <c r="I68" s="207">
        <f t="shared" si="24"/>
        <v>7.2200249999999997</v>
      </c>
      <c r="J68" s="207">
        <f t="shared" si="24"/>
        <v>7.2200249999999997</v>
      </c>
      <c r="K68" s="207">
        <f t="shared" si="24"/>
        <v>7.2200249999999997</v>
      </c>
      <c r="L68" s="207">
        <f t="shared" si="24"/>
        <v>7.2200249999999997</v>
      </c>
      <c r="M68" s="207">
        <f t="shared" si="24"/>
        <v>7.2200249999999997</v>
      </c>
      <c r="N68" s="207">
        <f t="shared" si="24"/>
        <v>7.2200249999999997</v>
      </c>
      <c r="O68" s="208">
        <f t="shared" si="24"/>
        <v>7.2200249999999997</v>
      </c>
    </row>
    <row r="69" spans="1:16">
      <c r="A69" s="266"/>
      <c r="B69" s="204" t="s">
        <v>88</v>
      </c>
      <c r="C69" s="205" t="s">
        <v>4</v>
      </c>
      <c r="D69" s="206">
        <f>$E$36</f>
        <v>0</v>
      </c>
      <c r="E69" s="207">
        <f t="shared" ref="E69:O69" si="25">$E$36</f>
        <v>0</v>
      </c>
      <c r="F69" s="207">
        <f t="shared" si="25"/>
        <v>0</v>
      </c>
      <c r="G69" s="207">
        <f t="shared" si="25"/>
        <v>0</v>
      </c>
      <c r="H69" s="207">
        <f t="shared" si="25"/>
        <v>0</v>
      </c>
      <c r="I69" s="207">
        <f t="shared" si="25"/>
        <v>0</v>
      </c>
      <c r="J69" s="207">
        <f t="shared" si="25"/>
        <v>0</v>
      </c>
      <c r="K69" s="207">
        <f t="shared" si="25"/>
        <v>0</v>
      </c>
      <c r="L69" s="207">
        <f t="shared" si="25"/>
        <v>0</v>
      </c>
      <c r="M69" s="207">
        <f t="shared" si="25"/>
        <v>0</v>
      </c>
      <c r="N69" s="207">
        <f t="shared" si="25"/>
        <v>0</v>
      </c>
      <c r="O69" s="208">
        <f t="shared" si="25"/>
        <v>0</v>
      </c>
    </row>
    <row r="70" spans="1:16">
      <c r="A70" s="266"/>
      <c r="B70" s="204" t="s">
        <v>73</v>
      </c>
      <c r="C70" s="205" t="s">
        <v>4</v>
      </c>
      <c r="D70" s="206">
        <f>$F$36</f>
        <v>43.746105</v>
      </c>
      <c r="E70" s="207">
        <f t="shared" ref="E70:O70" si="26">$F$36</f>
        <v>43.746105</v>
      </c>
      <c r="F70" s="207">
        <f t="shared" si="26"/>
        <v>43.746105</v>
      </c>
      <c r="G70" s="207">
        <f t="shared" si="26"/>
        <v>43.746105</v>
      </c>
      <c r="H70" s="207">
        <f t="shared" si="26"/>
        <v>43.746105</v>
      </c>
      <c r="I70" s="207">
        <f t="shared" si="26"/>
        <v>43.746105</v>
      </c>
      <c r="J70" s="207">
        <f t="shared" si="26"/>
        <v>43.746105</v>
      </c>
      <c r="K70" s="207">
        <f t="shared" si="26"/>
        <v>43.746105</v>
      </c>
      <c r="L70" s="207">
        <f t="shared" si="26"/>
        <v>43.746105</v>
      </c>
      <c r="M70" s="207">
        <f t="shared" si="26"/>
        <v>43.746105</v>
      </c>
      <c r="N70" s="207">
        <f t="shared" si="26"/>
        <v>43.746105</v>
      </c>
      <c r="O70" s="208">
        <f t="shared" si="26"/>
        <v>43.746105</v>
      </c>
    </row>
    <row r="71" spans="1:16">
      <c r="A71" s="266"/>
      <c r="B71" s="204" t="s">
        <v>74</v>
      </c>
      <c r="C71" s="205" t="s">
        <v>4</v>
      </c>
      <c r="D71" s="206">
        <f>$G$36</f>
        <v>32.853974999999998</v>
      </c>
      <c r="E71" s="207">
        <f t="shared" ref="E71:O71" si="27">$G$36</f>
        <v>32.853974999999998</v>
      </c>
      <c r="F71" s="207">
        <f t="shared" si="27"/>
        <v>32.853974999999998</v>
      </c>
      <c r="G71" s="207">
        <f t="shared" si="27"/>
        <v>32.853974999999998</v>
      </c>
      <c r="H71" s="207">
        <f t="shared" si="27"/>
        <v>32.853974999999998</v>
      </c>
      <c r="I71" s="207">
        <f t="shared" si="27"/>
        <v>32.853974999999998</v>
      </c>
      <c r="J71" s="207">
        <f t="shared" si="27"/>
        <v>32.853974999999998</v>
      </c>
      <c r="K71" s="207">
        <f t="shared" si="27"/>
        <v>32.853974999999998</v>
      </c>
      <c r="L71" s="207">
        <f t="shared" si="27"/>
        <v>32.853974999999998</v>
      </c>
      <c r="M71" s="207">
        <f t="shared" si="27"/>
        <v>32.853974999999998</v>
      </c>
      <c r="N71" s="207">
        <f t="shared" si="27"/>
        <v>32.853974999999998</v>
      </c>
      <c r="O71" s="208">
        <f t="shared" si="27"/>
        <v>32.853974999999998</v>
      </c>
    </row>
    <row r="72" spans="1:16">
      <c r="A72" s="266"/>
      <c r="B72" s="204" t="s">
        <v>75</v>
      </c>
      <c r="C72" s="205" t="s">
        <v>4</v>
      </c>
      <c r="D72" s="206">
        <f>$H$36</f>
        <v>43.746105</v>
      </c>
      <c r="E72" s="207">
        <f t="shared" ref="E72:O72" si="28">$H$36</f>
        <v>43.746105</v>
      </c>
      <c r="F72" s="207">
        <f t="shared" si="28"/>
        <v>43.746105</v>
      </c>
      <c r="G72" s="207">
        <f t="shared" si="28"/>
        <v>43.746105</v>
      </c>
      <c r="H72" s="207">
        <f t="shared" si="28"/>
        <v>43.746105</v>
      </c>
      <c r="I72" s="207">
        <f t="shared" si="28"/>
        <v>43.746105</v>
      </c>
      <c r="J72" s="207">
        <f t="shared" si="28"/>
        <v>43.746105</v>
      </c>
      <c r="K72" s="207">
        <f t="shared" si="28"/>
        <v>43.746105</v>
      </c>
      <c r="L72" s="207">
        <f t="shared" si="28"/>
        <v>43.746105</v>
      </c>
      <c r="M72" s="207">
        <f t="shared" si="28"/>
        <v>43.746105</v>
      </c>
      <c r="N72" s="207">
        <f t="shared" si="28"/>
        <v>43.746105</v>
      </c>
      <c r="O72" s="208">
        <f t="shared" si="28"/>
        <v>43.746105</v>
      </c>
    </row>
    <row r="73" spans="1:16">
      <c r="A73" s="266"/>
      <c r="B73" s="204" t="s">
        <v>93</v>
      </c>
      <c r="C73" s="205" t="s">
        <v>4</v>
      </c>
      <c r="D73" s="206">
        <f>$I$36</f>
        <v>0</v>
      </c>
      <c r="E73" s="207">
        <f t="shared" ref="E73:O73" si="29">$I$36</f>
        <v>0</v>
      </c>
      <c r="F73" s="207">
        <f t="shared" si="29"/>
        <v>0</v>
      </c>
      <c r="G73" s="207">
        <f t="shared" si="29"/>
        <v>0</v>
      </c>
      <c r="H73" s="207">
        <f t="shared" si="29"/>
        <v>0</v>
      </c>
      <c r="I73" s="207">
        <f t="shared" si="29"/>
        <v>0</v>
      </c>
      <c r="J73" s="207">
        <f t="shared" si="29"/>
        <v>0</v>
      </c>
      <c r="K73" s="207">
        <f t="shared" si="29"/>
        <v>0</v>
      </c>
      <c r="L73" s="207">
        <f t="shared" si="29"/>
        <v>0</v>
      </c>
      <c r="M73" s="207">
        <f t="shared" si="29"/>
        <v>0</v>
      </c>
      <c r="N73" s="207">
        <f t="shared" si="29"/>
        <v>0</v>
      </c>
      <c r="O73" s="208">
        <f t="shared" si="29"/>
        <v>0</v>
      </c>
    </row>
    <row r="74" spans="1:16">
      <c r="A74" s="266"/>
      <c r="B74" s="204" t="s">
        <v>2</v>
      </c>
      <c r="C74" s="205" t="s">
        <v>3</v>
      </c>
      <c r="D74" s="190">
        <f>$D$10*$D$3</f>
        <v>3165</v>
      </c>
      <c r="E74" s="191">
        <f t="shared" ref="E74:O74" si="30">$D$10*$D$3</f>
        <v>3165</v>
      </c>
      <c r="F74" s="191">
        <f t="shared" si="30"/>
        <v>3165</v>
      </c>
      <c r="G74" s="191">
        <f t="shared" si="30"/>
        <v>3165</v>
      </c>
      <c r="H74" s="191">
        <f t="shared" si="30"/>
        <v>3165</v>
      </c>
      <c r="I74" s="191">
        <f t="shared" si="30"/>
        <v>3165</v>
      </c>
      <c r="J74" s="191">
        <f t="shared" si="30"/>
        <v>3165</v>
      </c>
      <c r="K74" s="191">
        <f t="shared" si="30"/>
        <v>3165</v>
      </c>
      <c r="L74" s="191">
        <f t="shared" si="30"/>
        <v>3165</v>
      </c>
      <c r="M74" s="191">
        <f t="shared" si="30"/>
        <v>3165</v>
      </c>
      <c r="N74" s="191">
        <f t="shared" si="30"/>
        <v>3165</v>
      </c>
      <c r="O74" s="192">
        <f t="shared" si="30"/>
        <v>3165</v>
      </c>
    </row>
    <row r="75" spans="1:16" ht="15" thickBot="1">
      <c r="A75" s="267"/>
      <c r="B75" s="212" t="s">
        <v>9</v>
      </c>
      <c r="C75" s="264" t="s">
        <v>17</v>
      </c>
      <c r="D75" s="261">
        <f>$D$3*$D$4</f>
        <v>474750</v>
      </c>
      <c r="E75" s="262">
        <f t="shared" ref="E75:O75" si="31">$D$3*$D$4</f>
        <v>474750</v>
      </c>
      <c r="F75" s="262">
        <f t="shared" si="31"/>
        <v>474750</v>
      </c>
      <c r="G75" s="262">
        <f t="shared" si="31"/>
        <v>474750</v>
      </c>
      <c r="H75" s="262">
        <f t="shared" si="31"/>
        <v>474750</v>
      </c>
      <c r="I75" s="262">
        <f t="shared" si="31"/>
        <v>474750</v>
      </c>
      <c r="J75" s="262">
        <f t="shared" si="31"/>
        <v>474750</v>
      </c>
      <c r="K75" s="262">
        <f t="shared" si="31"/>
        <v>474750</v>
      </c>
      <c r="L75" s="262">
        <f t="shared" si="31"/>
        <v>474750</v>
      </c>
      <c r="M75" s="262">
        <f t="shared" si="31"/>
        <v>474750</v>
      </c>
      <c r="N75" s="262">
        <f t="shared" si="31"/>
        <v>474750</v>
      </c>
      <c r="O75" s="263">
        <f t="shared" si="31"/>
        <v>474750</v>
      </c>
    </row>
    <row r="76" spans="1:16" ht="15">
      <c r="A76" s="251" t="s">
        <v>230</v>
      </c>
      <c r="B76" s="167" t="s">
        <v>62</v>
      </c>
      <c r="C76" s="167" t="s">
        <v>221</v>
      </c>
      <c r="D76" s="255">
        <f>IF(D55&lt;0,0,D55)+(D$54+D$58)*D43/1000</f>
        <v>38678.750567900039</v>
      </c>
      <c r="E76" s="255">
        <f t="shared" ref="E76:O76" si="32">IF(E55&lt;0,0,E55)+(E$54+E$58)*E43/1000</f>
        <v>32170.369890399998</v>
      </c>
      <c r="F76" s="255">
        <f t="shared" si="32"/>
        <v>29513.770823599978</v>
      </c>
      <c r="G76" s="255">
        <f t="shared" si="32"/>
        <v>21937.824458250027</v>
      </c>
      <c r="H76" s="255">
        <f t="shared" si="32"/>
        <v>11387.052154099991</v>
      </c>
      <c r="I76" s="255">
        <f t="shared" si="32"/>
        <v>3364.752472900002</v>
      </c>
      <c r="J76" s="255">
        <f t="shared" si="32"/>
        <v>350.40264350000012</v>
      </c>
      <c r="K76" s="255">
        <f t="shared" si="32"/>
        <v>217.78189615000016</v>
      </c>
      <c r="L76" s="255">
        <f t="shared" si="32"/>
        <v>2503.8667376499998</v>
      </c>
      <c r="M76" s="255">
        <f t="shared" si="32"/>
        <v>10758.319342749999</v>
      </c>
      <c r="N76" s="255">
        <f t="shared" si="32"/>
        <v>24475.10286395</v>
      </c>
      <c r="O76" s="255">
        <f t="shared" si="32"/>
        <v>35674.339230449994</v>
      </c>
      <c r="P76" s="110" t="s">
        <v>224</v>
      </c>
    </row>
    <row r="77" spans="1:16" ht="15">
      <c r="A77" s="251" t="s">
        <v>239</v>
      </c>
      <c r="B77" s="164" t="s">
        <v>170</v>
      </c>
      <c r="C77" s="164" t="s">
        <v>222</v>
      </c>
      <c r="D77" s="254">
        <f>IF(D55&lt;0,-D55,0)+(D$54+D$58)*D44/1000</f>
        <v>8.8709530000000001</v>
      </c>
      <c r="E77" s="254">
        <f t="shared" ref="E77:O77" si="33">IF(E55&lt;0,-E55,0)+(E$54+E$58)*E44/1000</f>
        <v>10.645143599999994</v>
      </c>
      <c r="F77" s="254">
        <f t="shared" si="33"/>
        <v>42.580574399999975</v>
      </c>
      <c r="G77" s="254">
        <f t="shared" si="33"/>
        <v>239.95927865000004</v>
      </c>
      <c r="H77" s="254">
        <f t="shared" si="33"/>
        <v>1288.9494708999989</v>
      </c>
      <c r="I77" s="254">
        <f t="shared" si="33"/>
        <v>6653.3603443000047</v>
      </c>
      <c r="J77" s="254">
        <f t="shared" si="33"/>
        <v>14474.210452149968</v>
      </c>
      <c r="K77" s="254">
        <f t="shared" si="33"/>
        <v>14265.322624499988</v>
      </c>
      <c r="L77" s="254">
        <f t="shared" si="33"/>
        <v>8595.0663617000046</v>
      </c>
      <c r="M77" s="254">
        <f t="shared" si="33"/>
        <v>2378.3024992999985</v>
      </c>
      <c r="N77" s="254">
        <f t="shared" si="33"/>
        <v>76.29019579999995</v>
      </c>
      <c r="O77" s="254">
        <f t="shared" si="33"/>
        <v>62.54021865</v>
      </c>
      <c r="P77" s="110" t="s">
        <v>223</v>
      </c>
    </row>
    <row r="78" spans="1:16" ht="15">
      <c r="A78" s="251" t="s">
        <v>231</v>
      </c>
      <c r="B78" s="169" t="s">
        <v>63</v>
      </c>
      <c r="C78" s="169" t="s">
        <v>225</v>
      </c>
      <c r="D78" s="256">
        <f>IF(D57&lt;0,-D57,0)+(D$56+D$59)*D46/1000</f>
        <v>111727.10930440009</v>
      </c>
      <c r="E78" s="256">
        <f t="shared" ref="E78:O78" si="34">IF(E57&lt;0,-E57,0)+(E$56+E$59)*E46/1000</f>
        <v>96326.57613280011</v>
      </c>
      <c r="F78" s="256">
        <f t="shared" si="34"/>
        <v>96449.450331200045</v>
      </c>
      <c r="G78" s="256">
        <f t="shared" si="34"/>
        <v>81809.893249599932</v>
      </c>
      <c r="H78" s="256">
        <f t="shared" si="34"/>
        <v>63841.94691519998</v>
      </c>
      <c r="I78" s="256">
        <f t="shared" si="34"/>
        <v>39086.255270000023</v>
      </c>
      <c r="J78" s="256">
        <f t="shared" si="34"/>
        <v>22974.822472600059</v>
      </c>
      <c r="K78" s="256">
        <f t="shared" si="34"/>
        <v>23047.612181400014</v>
      </c>
      <c r="L78" s="256">
        <f t="shared" si="34"/>
        <v>33668.797515000049</v>
      </c>
      <c r="M78" s="256">
        <f t="shared" si="34"/>
        <v>59039.418758200016</v>
      </c>
      <c r="N78" s="256">
        <f t="shared" si="34"/>
        <v>85493.979149400184</v>
      </c>
      <c r="O78" s="256">
        <f t="shared" si="34"/>
        <v>106397.67752880002</v>
      </c>
      <c r="P78" s="110" t="s">
        <v>224</v>
      </c>
    </row>
    <row r="79" spans="1:16" ht="15">
      <c r="A79" s="257" t="s">
        <v>232</v>
      </c>
      <c r="B79" s="169" t="s">
        <v>171</v>
      </c>
      <c r="C79" s="169" t="s">
        <v>226</v>
      </c>
      <c r="D79" s="253">
        <f>IF(D57&lt;0,0,-D57)+(D$56+D$58)*D45/1000</f>
        <v>0</v>
      </c>
      <c r="E79" s="253">
        <f t="shared" ref="E79:O79" si="35">IF(E57&lt;0,0,-E57)+(E$56+E$58)*E45/1000</f>
        <v>0</v>
      </c>
      <c r="F79" s="253">
        <f t="shared" si="35"/>
        <v>0</v>
      </c>
      <c r="G79" s="253">
        <f t="shared" si="35"/>
        <v>0</v>
      </c>
      <c r="H79" s="253">
        <f t="shared" si="35"/>
        <v>0</v>
      </c>
      <c r="I79" s="253">
        <f t="shared" si="35"/>
        <v>100.2417689</v>
      </c>
      <c r="J79" s="253">
        <f t="shared" si="35"/>
        <v>1117.740078</v>
      </c>
      <c r="K79" s="253">
        <f t="shared" si="35"/>
        <v>1335.0784265000007</v>
      </c>
      <c r="L79" s="253">
        <f t="shared" si="35"/>
        <v>599.67642280000007</v>
      </c>
      <c r="M79" s="253">
        <f t="shared" si="35"/>
        <v>4.4354765000000151</v>
      </c>
      <c r="N79" s="253">
        <f t="shared" si="35"/>
        <v>0</v>
      </c>
      <c r="O79" s="253">
        <f t="shared" si="35"/>
        <v>0</v>
      </c>
      <c r="P79" s="110" t="s">
        <v>223</v>
      </c>
    </row>
    <row r="80" spans="1:16" ht="15">
      <c r="A80" s="251" t="s">
        <v>213</v>
      </c>
      <c r="B80" s="169" t="s">
        <v>0</v>
      </c>
      <c r="C80" s="169" t="s">
        <v>12</v>
      </c>
      <c r="D80" s="253">
        <f t="shared" ref="D80:O80" si="36">D74*24*D38/1000</f>
        <v>2354.7600000000002</v>
      </c>
      <c r="E80" s="253">
        <f t="shared" si="36"/>
        <v>2126.88</v>
      </c>
      <c r="F80" s="253">
        <f t="shared" si="36"/>
        <v>2354.7600000000002</v>
      </c>
      <c r="G80" s="253">
        <f t="shared" si="36"/>
        <v>2278.8000000000002</v>
      </c>
      <c r="H80" s="253">
        <f t="shared" si="36"/>
        <v>2354.7600000000002</v>
      </c>
      <c r="I80" s="253">
        <f t="shared" si="36"/>
        <v>2278.8000000000002</v>
      </c>
      <c r="J80" s="253">
        <f t="shared" si="36"/>
        <v>2354.7600000000002</v>
      </c>
      <c r="K80" s="253">
        <f t="shared" si="36"/>
        <v>2354.7600000000002</v>
      </c>
      <c r="L80" s="253">
        <f t="shared" si="36"/>
        <v>2278.8000000000002</v>
      </c>
      <c r="M80" s="253">
        <f t="shared" si="36"/>
        <v>2354.7600000000002</v>
      </c>
      <c r="N80" s="253">
        <f t="shared" si="36"/>
        <v>2278.8000000000002</v>
      </c>
      <c r="O80" s="253">
        <f t="shared" si="36"/>
        <v>2354.7600000000002</v>
      </c>
    </row>
    <row r="81" spans="1:15">
      <c r="A81" s="251"/>
      <c r="B81" s="169" t="s">
        <v>76</v>
      </c>
      <c r="C81" s="169" t="s">
        <v>18</v>
      </c>
      <c r="D81" s="135">
        <f t="shared" ref="D81:O81" si="37">D47*D60*D38/1000</f>
        <v>0</v>
      </c>
      <c r="E81" s="135">
        <f t="shared" si="37"/>
        <v>0</v>
      </c>
      <c r="F81" s="135">
        <f t="shared" si="37"/>
        <v>0</v>
      </c>
      <c r="G81" s="135">
        <f t="shared" si="37"/>
        <v>0</v>
      </c>
      <c r="H81" s="135">
        <f t="shared" si="37"/>
        <v>0</v>
      </c>
      <c r="I81" s="135">
        <f t="shared" si="37"/>
        <v>0</v>
      </c>
      <c r="J81" s="135">
        <f t="shared" si="37"/>
        <v>0</v>
      </c>
      <c r="K81" s="135">
        <f t="shared" si="37"/>
        <v>0</v>
      </c>
      <c r="L81" s="135">
        <f t="shared" si="37"/>
        <v>0</v>
      </c>
      <c r="M81" s="135">
        <f t="shared" si="37"/>
        <v>0</v>
      </c>
      <c r="N81" s="135">
        <f t="shared" si="37"/>
        <v>0</v>
      </c>
      <c r="O81" s="135">
        <f t="shared" si="37"/>
        <v>0</v>
      </c>
    </row>
    <row r="82" spans="1:15">
      <c r="A82" s="251"/>
      <c r="B82" s="169" t="s">
        <v>77</v>
      </c>
      <c r="C82" s="169" t="s">
        <v>18</v>
      </c>
      <c r="D82" s="135">
        <f t="shared" ref="D82:O82" si="38">D38*D48*D61/1000</f>
        <v>107.40991152548963</v>
      </c>
      <c r="E82" s="135">
        <f t="shared" si="38"/>
        <v>101.54381395481279</v>
      </c>
      <c r="F82" s="135">
        <f t="shared" si="38"/>
        <v>102.70703828041724</v>
      </c>
      <c r="G82" s="135">
        <f t="shared" si="38"/>
        <v>85.639601542964499</v>
      </c>
      <c r="H82" s="135">
        <f t="shared" si="38"/>
        <v>80.534080538801248</v>
      </c>
      <c r="I82" s="135">
        <f t="shared" si="38"/>
        <v>74.921405043552014</v>
      </c>
      <c r="J82" s="135">
        <f t="shared" si="38"/>
        <v>83.502556292642211</v>
      </c>
      <c r="K82" s="135">
        <f t="shared" si="38"/>
        <v>91.883302880743287</v>
      </c>
      <c r="L82" s="135">
        <f t="shared" si="38"/>
        <v>98.222470544712863</v>
      </c>
      <c r="M82" s="135">
        <f t="shared" si="38"/>
        <v>113.23975879279951</v>
      </c>
      <c r="N82" s="135">
        <f t="shared" si="38"/>
        <v>106.6539706553434</v>
      </c>
      <c r="O82" s="135">
        <f t="shared" si="38"/>
        <v>108.21709475157404</v>
      </c>
    </row>
    <row r="83" spans="1:15">
      <c r="A83" s="251"/>
      <c r="B83" s="169" t="s">
        <v>89</v>
      </c>
      <c r="C83" s="169" t="s">
        <v>18</v>
      </c>
      <c r="D83" s="135">
        <f>D38*D49*D62/1000</f>
        <v>0</v>
      </c>
      <c r="E83" s="135">
        <f t="shared" ref="E83:O83" si="39">E38*E49*E62/1000</f>
        <v>0</v>
      </c>
      <c r="F83" s="135">
        <f t="shared" si="39"/>
        <v>0</v>
      </c>
      <c r="G83" s="135">
        <f t="shared" si="39"/>
        <v>0</v>
      </c>
      <c r="H83" s="135">
        <f t="shared" si="39"/>
        <v>0</v>
      </c>
      <c r="I83" s="135">
        <f t="shared" si="39"/>
        <v>0</v>
      </c>
      <c r="J83" s="135">
        <f t="shared" si="39"/>
        <v>0</v>
      </c>
      <c r="K83" s="135">
        <f t="shared" si="39"/>
        <v>0</v>
      </c>
      <c r="L83" s="135">
        <f t="shared" si="39"/>
        <v>0</v>
      </c>
      <c r="M83" s="135">
        <f t="shared" si="39"/>
        <v>0</v>
      </c>
      <c r="N83" s="135">
        <f t="shared" si="39"/>
        <v>0</v>
      </c>
      <c r="O83" s="135">
        <f t="shared" si="39"/>
        <v>0</v>
      </c>
    </row>
    <row r="84" spans="1:15">
      <c r="A84" s="251"/>
      <c r="B84" s="169" t="s">
        <v>78</v>
      </c>
      <c r="C84" s="169" t="s">
        <v>18</v>
      </c>
      <c r="D84" s="135">
        <f t="shared" ref="D84:O84" si="40">D38*D50*D63/1000</f>
        <v>843.34628138456981</v>
      </c>
      <c r="E84" s="135">
        <f t="shared" si="40"/>
        <v>1016.80740024232</v>
      </c>
      <c r="F84" s="135">
        <f t="shared" si="40"/>
        <v>1412.6165449972179</v>
      </c>
      <c r="G84" s="135">
        <f t="shared" si="40"/>
        <v>1656.25197157869</v>
      </c>
      <c r="H84" s="135">
        <f t="shared" si="40"/>
        <v>1975.0626279945543</v>
      </c>
      <c r="I84" s="135">
        <f t="shared" si="40"/>
        <v>2041.5306721182767</v>
      </c>
      <c r="J84" s="135">
        <f t="shared" si="40"/>
        <v>2249.8022973837551</v>
      </c>
      <c r="K84" s="135">
        <f t="shared" si="40"/>
        <v>2005.3980690491439</v>
      </c>
      <c r="L84" s="135">
        <f t="shared" si="40"/>
        <v>1549.1610384402518</v>
      </c>
      <c r="M84" s="135">
        <f t="shared" si="40"/>
        <v>1247.8403636151641</v>
      </c>
      <c r="N84" s="135">
        <f t="shared" si="40"/>
        <v>889.73891195313718</v>
      </c>
      <c r="O84" s="135">
        <f t="shared" si="40"/>
        <v>786.92233559368276</v>
      </c>
    </row>
    <row r="85" spans="1:15">
      <c r="A85" s="251"/>
      <c r="B85" s="169" t="s">
        <v>79</v>
      </c>
      <c r="C85" s="169" t="s">
        <v>18</v>
      </c>
      <c r="D85" s="135">
        <f t="shared" ref="D85:O85" si="41">D38*D51*D64/1000</f>
        <v>447.39615254960722</v>
      </c>
      <c r="E85" s="135">
        <f t="shared" si="41"/>
        <v>566.55534212398243</v>
      </c>
      <c r="F85" s="135">
        <f t="shared" si="41"/>
        <v>861.3133806940391</v>
      </c>
      <c r="G85" s="135">
        <f t="shared" si="41"/>
        <v>1083.2650444089331</v>
      </c>
      <c r="H85" s="135">
        <f t="shared" si="41"/>
        <v>1320.8105401675562</v>
      </c>
      <c r="I85" s="135">
        <f t="shared" si="41"/>
        <v>1364.508345590787</v>
      </c>
      <c r="J85" s="135">
        <f t="shared" si="41"/>
        <v>1376.9210898825747</v>
      </c>
      <c r="K85" s="135">
        <f t="shared" si="41"/>
        <v>1213.0586745826711</v>
      </c>
      <c r="L85" s="135">
        <f t="shared" si="41"/>
        <v>931.09036215355741</v>
      </c>
      <c r="M85" s="135">
        <f t="shared" si="41"/>
        <v>698.91391963566298</v>
      </c>
      <c r="N85" s="135">
        <f t="shared" si="41"/>
        <v>474.18155451264971</v>
      </c>
      <c r="O85" s="135">
        <f t="shared" si="41"/>
        <v>402.05349378855595</v>
      </c>
    </row>
    <row r="86" spans="1:15">
      <c r="A86" s="251"/>
      <c r="B86" s="169" t="s">
        <v>80</v>
      </c>
      <c r="C86" s="169" t="s">
        <v>18</v>
      </c>
      <c r="D86" s="135">
        <f>D38*D52*D65/1000</f>
        <v>1046.083815</v>
      </c>
      <c r="E86" s="135">
        <f t="shared" ref="E86:O86" si="42">E38*E52*E65/1000</f>
        <v>1339.8463858499999</v>
      </c>
      <c r="F86" s="135">
        <f t="shared" si="42"/>
        <v>1990.70929155</v>
      </c>
      <c r="G86" s="135">
        <f t="shared" si="42"/>
        <v>2474.4851543999998</v>
      </c>
      <c r="H86" s="135">
        <f t="shared" si="42"/>
        <v>3070.0454326499998</v>
      </c>
      <c r="I86" s="135">
        <f t="shared" si="42"/>
        <v>3230.37757035</v>
      </c>
      <c r="J86" s="135">
        <f t="shared" si="42"/>
        <v>3516.1723852500004</v>
      </c>
      <c r="K86" s="135">
        <f t="shared" si="42"/>
        <v>3027.5619643499999</v>
      </c>
      <c r="L86" s="135">
        <f t="shared" si="42"/>
        <v>2225.4969922499999</v>
      </c>
      <c r="M86" s="135">
        <f t="shared" si="42"/>
        <v>1676.7999213000001</v>
      </c>
      <c r="N86" s="135">
        <f t="shared" si="42"/>
        <v>1120.4719974</v>
      </c>
      <c r="O86" s="135">
        <f t="shared" si="42"/>
        <v>953.04805154999997</v>
      </c>
    </row>
    <row r="87" spans="1:15">
      <c r="A87" s="251"/>
      <c r="B87" s="169" t="s">
        <v>94</v>
      </c>
      <c r="C87" s="169" t="s">
        <v>18</v>
      </c>
      <c r="D87" s="135">
        <f>D38*D53*D66/1000</f>
        <v>0</v>
      </c>
      <c r="E87" s="135">
        <f t="shared" ref="E87:O87" si="43">E38*E53*E66/1000</f>
        <v>0</v>
      </c>
      <c r="F87" s="135">
        <f t="shared" si="43"/>
        <v>0</v>
      </c>
      <c r="G87" s="135">
        <f t="shared" si="43"/>
        <v>0</v>
      </c>
      <c r="H87" s="135">
        <f t="shared" si="43"/>
        <v>0</v>
      </c>
      <c r="I87" s="135">
        <f t="shared" si="43"/>
        <v>0</v>
      </c>
      <c r="J87" s="135">
        <f t="shared" si="43"/>
        <v>0</v>
      </c>
      <c r="K87" s="135">
        <f t="shared" si="43"/>
        <v>0</v>
      </c>
      <c r="L87" s="135">
        <f t="shared" si="43"/>
        <v>0</v>
      </c>
      <c r="M87" s="135">
        <f t="shared" si="43"/>
        <v>0</v>
      </c>
      <c r="N87" s="135">
        <f t="shared" si="43"/>
        <v>0</v>
      </c>
      <c r="O87" s="135">
        <f t="shared" si="43"/>
        <v>0</v>
      </c>
    </row>
    <row r="88" spans="1:15" ht="15">
      <c r="A88" s="251" t="s">
        <v>233</v>
      </c>
      <c r="B88" s="169" t="s">
        <v>64</v>
      </c>
      <c r="C88" s="250" t="s">
        <v>188</v>
      </c>
      <c r="D88" s="253">
        <f>SUM(D81:D87)</f>
        <v>2444.2361604596667</v>
      </c>
      <c r="E88" s="253">
        <f t="shared" ref="E88:O88" si="44">SUM(E81:E87)</f>
        <v>3024.7529421711151</v>
      </c>
      <c r="F88" s="253">
        <f t="shared" si="44"/>
        <v>4367.3462555216738</v>
      </c>
      <c r="G88" s="253">
        <f t="shared" si="44"/>
        <v>5299.6417719305882</v>
      </c>
      <c r="H88" s="253">
        <f t="shared" si="44"/>
        <v>6446.452681350911</v>
      </c>
      <c r="I88" s="253">
        <f t="shared" si="44"/>
        <v>6711.3379931026157</v>
      </c>
      <c r="J88" s="253">
        <f t="shared" si="44"/>
        <v>7226.398328808973</v>
      </c>
      <c r="K88" s="253">
        <f t="shared" si="44"/>
        <v>6337.9020108625591</v>
      </c>
      <c r="L88" s="253">
        <f t="shared" si="44"/>
        <v>4803.970863388522</v>
      </c>
      <c r="M88" s="253">
        <f t="shared" si="44"/>
        <v>3736.7939633436263</v>
      </c>
      <c r="N88" s="253">
        <f t="shared" si="44"/>
        <v>2591.0464345211303</v>
      </c>
      <c r="O88" s="253">
        <f t="shared" si="44"/>
        <v>2250.2409756838128</v>
      </c>
    </row>
    <row r="89" spans="1:15">
      <c r="A89" s="251"/>
      <c r="B89" s="169" t="s">
        <v>81</v>
      </c>
      <c r="C89" s="169" t="s">
        <v>18</v>
      </c>
      <c r="D89" s="135">
        <f t="shared" ref="D89:O89" si="45">D67*D47*D38/1000</f>
        <v>1875.1095</v>
      </c>
      <c r="E89" s="135">
        <f t="shared" si="45"/>
        <v>2401.6801049999999</v>
      </c>
      <c r="F89" s="135">
        <f t="shared" si="45"/>
        <v>3568.354515</v>
      </c>
      <c r="G89" s="135">
        <f t="shared" si="45"/>
        <v>4435.5247200000003</v>
      </c>
      <c r="H89" s="135">
        <f t="shared" si="45"/>
        <v>5503.0689449999991</v>
      </c>
      <c r="I89" s="135">
        <f t="shared" si="45"/>
        <v>5790.4649550000004</v>
      </c>
      <c r="J89" s="135">
        <f t="shared" si="45"/>
        <v>6302.7533250000006</v>
      </c>
      <c r="K89" s="135">
        <f t="shared" si="45"/>
        <v>5426.9171550000001</v>
      </c>
      <c r="L89" s="135">
        <f t="shared" si="45"/>
        <v>3989.2124249999997</v>
      </c>
      <c r="M89" s="135">
        <f t="shared" si="45"/>
        <v>3005.6706899999999</v>
      </c>
      <c r="N89" s="135">
        <f t="shared" si="45"/>
        <v>2008.4506199999996</v>
      </c>
      <c r="O89" s="135">
        <f t="shared" si="45"/>
        <v>1708.342515</v>
      </c>
    </row>
    <row r="90" spans="1:15">
      <c r="A90" s="251"/>
      <c r="B90" s="169" t="s">
        <v>82</v>
      </c>
      <c r="C90" s="169" t="s">
        <v>18</v>
      </c>
      <c r="D90" s="135">
        <f t="shared" ref="D90:O90" si="46">D48*D38*D68/1000</f>
        <v>807.18422738675326</v>
      </c>
      <c r="E90" s="135">
        <f t="shared" si="46"/>
        <v>763.100572832784</v>
      </c>
      <c r="F90" s="135">
        <f t="shared" si="46"/>
        <v>771.84219001880763</v>
      </c>
      <c r="G90" s="135">
        <f t="shared" si="46"/>
        <v>643.58060278973949</v>
      </c>
      <c r="H90" s="135">
        <f t="shared" si="46"/>
        <v>605.21267222707104</v>
      </c>
      <c r="I90" s="135">
        <f t="shared" si="46"/>
        <v>563.03348160246856</v>
      </c>
      <c r="J90" s="135">
        <f t="shared" si="46"/>
        <v>627.52073275751673</v>
      </c>
      <c r="K90" s="135">
        <f t="shared" si="46"/>
        <v>690.5019452318902</v>
      </c>
      <c r="L90" s="135">
        <f t="shared" si="46"/>
        <v>738.14071599749207</v>
      </c>
      <c r="M90" s="135">
        <f t="shared" si="46"/>
        <v>850.9954613353965</v>
      </c>
      <c r="N90" s="135">
        <f t="shared" si="46"/>
        <v>801.50334059937097</v>
      </c>
      <c r="O90" s="135">
        <f t="shared" si="46"/>
        <v>813.25019987898338</v>
      </c>
    </row>
    <row r="91" spans="1:15">
      <c r="A91" s="251"/>
      <c r="B91" s="169" t="s">
        <v>90</v>
      </c>
      <c r="C91" s="169" t="s">
        <v>18</v>
      </c>
      <c r="D91" s="135">
        <f>D38*D49*D69/1000</f>
        <v>0</v>
      </c>
      <c r="E91" s="135">
        <f t="shared" ref="E91:O91" si="47">E38*E49*E69/1000</f>
        <v>0</v>
      </c>
      <c r="F91" s="135">
        <f t="shared" si="47"/>
        <v>0</v>
      </c>
      <c r="G91" s="135">
        <f t="shared" si="47"/>
        <v>0</v>
      </c>
      <c r="H91" s="135">
        <f t="shared" si="47"/>
        <v>0</v>
      </c>
      <c r="I91" s="135">
        <f t="shared" si="47"/>
        <v>0</v>
      </c>
      <c r="J91" s="135">
        <f t="shared" si="47"/>
        <v>0</v>
      </c>
      <c r="K91" s="135">
        <f t="shared" si="47"/>
        <v>0</v>
      </c>
      <c r="L91" s="135">
        <f t="shared" si="47"/>
        <v>0</v>
      </c>
      <c r="M91" s="135">
        <f t="shared" si="47"/>
        <v>0</v>
      </c>
      <c r="N91" s="135">
        <f t="shared" si="47"/>
        <v>0</v>
      </c>
      <c r="O91" s="135">
        <f t="shared" si="47"/>
        <v>0</v>
      </c>
    </row>
    <row r="92" spans="1:15">
      <c r="A92" s="251"/>
      <c r="B92" s="169" t="s">
        <v>83</v>
      </c>
      <c r="C92" s="169" t="s">
        <v>18</v>
      </c>
      <c r="D92" s="135">
        <f t="shared" ref="D92:O92" si="48">D70*D50*D38/1000</f>
        <v>2190.1327668087806</v>
      </c>
      <c r="E92" s="135">
        <f t="shared" si="48"/>
        <v>2640.6035740719176</v>
      </c>
      <c r="F92" s="135">
        <f t="shared" si="48"/>
        <v>3668.5023108838755</v>
      </c>
      <c r="G92" s="135">
        <f t="shared" si="48"/>
        <v>4301.2126727953373</v>
      </c>
      <c r="H92" s="135">
        <f t="shared" si="48"/>
        <v>5129.1497615530707</v>
      </c>
      <c r="I92" s="135">
        <f t="shared" si="48"/>
        <v>5301.7643145479087</v>
      </c>
      <c r="J92" s="135">
        <f t="shared" si="48"/>
        <v>5842.6364580066647</v>
      </c>
      <c r="K92" s="135">
        <f t="shared" si="48"/>
        <v>5207.9295521512786</v>
      </c>
      <c r="L92" s="135">
        <f t="shared" si="48"/>
        <v>4023.102284605141</v>
      </c>
      <c r="M92" s="135">
        <f t="shared" si="48"/>
        <v>3240.585899795914</v>
      </c>
      <c r="N92" s="135">
        <f t="shared" si="48"/>
        <v>2310.612364086262</v>
      </c>
      <c r="O92" s="135">
        <f t="shared" si="48"/>
        <v>2043.602290257224</v>
      </c>
    </row>
    <row r="93" spans="1:15">
      <c r="A93" s="251"/>
      <c r="B93" s="169" t="s">
        <v>84</v>
      </c>
      <c r="C93" s="169" t="s">
        <v>18</v>
      </c>
      <c r="D93" s="135">
        <f t="shared" ref="D93:O93" si="49">D71*D51*D38/1000</f>
        <v>596.07417139454708</v>
      </c>
      <c r="E93" s="135">
        <f t="shared" si="49"/>
        <v>754.83216424902491</v>
      </c>
      <c r="F93" s="135">
        <f t="shared" si="49"/>
        <v>1147.5437524047748</v>
      </c>
      <c r="G93" s="135">
        <f t="shared" si="49"/>
        <v>1443.2540603378034</v>
      </c>
      <c r="H93" s="135">
        <f t="shared" si="49"/>
        <v>1759.7403192068448</v>
      </c>
      <c r="I93" s="135">
        <f t="shared" si="49"/>
        <v>1817.9597138327842</v>
      </c>
      <c r="J93" s="135">
        <f t="shared" si="49"/>
        <v>1834.4974427030368</v>
      </c>
      <c r="K93" s="135">
        <f t="shared" si="49"/>
        <v>1616.1805151524161</v>
      </c>
      <c r="L93" s="135">
        <f t="shared" si="49"/>
        <v>1240.5089157591542</v>
      </c>
      <c r="M93" s="135">
        <f t="shared" si="49"/>
        <v>931.17594585650738</v>
      </c>
      <c r="N93" s="135">
        <f t="shared" si="49"/>
        <v>631.76085799120949</v>
      </c>
      <c r="O93" s="135">
        <f t="shared" si="49"/>
        <v>535.66330823491705</v>
      </c>
    </row>
    <row r="94" spans="1:15">
      <c r="A94" s="251"/>
      <c r="B94" s="169" t="s">
        <v>96</v>
      </c>
      <c r="C94" s="169" t="s">
        <v>18</v>
      </c>
      <c r="D94" s="135">
        <f t="shared" ref="D94:O94" si="50">D72*D52*D38/1000</f>
        <v>2716.6331205000001</v>
      </c>
      <c r="E94" s="135">
        <f t="shared" si="50"/>
        <v>3479.5214455950004</v>
      </c>
      <c r="F94" s="135">
        <f t="shared" si="50"/>
        <v>5169.7834505849996</v>
      </c>
      <c r="G94" s="135">
        <f t="shared" si="50"/>
        <v>6426.1278400800002</v>
      </c>
      <c r="H94" s="135">
        <f t="shared" si="50"/>
        <v>7972.7713823550002</v>
      </c>
      <c r="I94" s="135">
        <f t="shared" si="50"/>
        <v>8389.1468097450015</v>
      </c>
      <c r="J94" s="135">
        <f t="shared" si="50"/>
        <v>9131.3432271750007</v>
      </c>
      <c r="K94" s="135">
        <f t="shared" si="50"/>
        <v>7862.4437055449998</v>
      </c>
      <c r="L94" s="135">
        <f t="shared" si="50"/>
        <v>5779.5166620749987</v>
      </c>
      <c r="M94" s="135">
        <f t="shared" si="50"/>
        <v>4354.5747839099995</v>
      </c>
      <c r="N94" s="135">
        <f t="shared" si="50"/>
        <v>2909.8159201799995</v>
      </c>
      <c r="O94" s="135">
        <f t="shared" si="50"/>
        <v>2475.023382585</v>
      </c>
    </row>
    <row r="95" spans="1:15">
      <c r="A95" s="251"/>
      <c r="B95" s="169" t="s">
        <v>95</v>
      </c>
      <c r="C95" s="169" t="s">
        <v>18</v>
      </c>
      <c r="D95" s="135">
        <f>D38*D53*D73/1000</f>
        <v>0</v>
      </c>
      <c r="E95" s="135">
        <f t="shared" ref="E95:O95" si="51">E38*E53*E73/1000</f>
        <v>0</v>
      </c>
      <c r="F95" s="135">
        <f t="shared" si="51"/>
        <v>0</v>
      </c>
      <c r="G95" s="135">
        <f t="shared" si="51"/>
        <v>0</v>
      </c>
      <c r="H95" s="135">
        <f t="shared" si="51"/>
        <v>0</v>
      </c>
      <c r="I95" s="135">
        <f t="shared" si="51"/>
        <v>0</v>
      </c>
      <c r="J95" s="135">
        <f t="shared" si="51"/>
        <v>0</v>
      </c>
      <c r="K95" s="135">
        <f t="shared" si="51"/>
        <v>0</v>
      </c>
      <c r="L95" s="135">
        <f t="shared" si="51"/>
        <v>0</v>
      </c>
      <c r="M95" s="135">
        <f t="shared" si="51"/>
        <v>0</v>
      </c>
      <c r="N95" s="135">
        <f t="shared" si="51"/>
        <v>0</v>
      </c>
      <c r="O95" s="135">
        <f t="shared" si="51"/>
        <v>0</v>
      </c>
    </row>
    <row r="96" spans="1:15" ht="15">
      <c r="A96" s="251" t="s">
        <v>234</v>
      </c>
      <c r="B96" s="169" t="s">
        <v>65</v>
      </c>
      <c r="C96" s="250" t="s">
        <v>188</v>
      </c>
      <c r="D96" s="253">
        <f>SUM(D89:D95)</f>
        <v>8185.1337860900803</v>
      </c>
      <c r="E96" s="253">
        <f t="shared" ref="E96:O96" si="52">SUM(E89:E95)</f>
        <v>10039.737861748727</v>
      </c>
      <c r="F96" s="253">
        <f t="shared" si="52"/>
        <v>14326.026218892457</v>
      </c>
      <c r="G96" s="253">
        <f t="shared" si="52"/>
        <v>17249.69989600288</v>
      </c>
      <c r="H96" s="253">
        <f t="shared" si="52"/>
        <v>20969.943080341985</v>
      </c>
      <c r="I96" s="253">
        <f t="shared" si="52"/>
        <v>21862.369274728164</v>
      </c>
      <c r="J96" s="253">
        <f t="shared" si="52"/>
        <v>23738.751185642221</v>
      </c>
      <c r="K96" s="253">
        <f t="shared" si="52"/>
        <v>20803.972873080587</v>
      </c>
      <c r="L96" s="253">
        <f t="shared" si="52"/>
        <v>15770.481003436786</v>
      </c>
      <c r="M96" s="253">
        <f t="shared" si="52"/>
        <v>12383.002780897818</v>
      </c>
      <c r="N96" s="253">
        <f t="shared" si="52"/>
        <v>8662.1431028568422</v>
      </c>
      <c r="O96" s="253">
        <f t="shared" si="52"/>
        <v>7575.8816959561245</v>
      </c>
    </row>
    <row r="97" spans="1:29">
      <c r="A97" s="251" t="s">
        <v>235</v>
      </c>
      <c r="B97" s="169" t="s">
        <v>175</v>
      </c>
      <c r="C97" s="169" t="s">
        <v>172</v>
      </c>
      <c r="D97" s="135">
        <f t="shared" ref="D97:O97" si="53">D80+D88+D77</f>
        <v>4807.8671134596661</v>
      </c>
      <c r="E97" s="135">
        <f t="shared" si="53"/>
        <v>5162.278085771115</v>
      </c>
      <c r="F97" s="135">
        <f t="shared" si="53"/>
        <v>6764.686829921674</v>
      </c>
      <c r="G97" s="135">
        <f t="shared" si="53"/>
        <v>7818.4010505805882</v>
      </c>
      <c r="H97" s="135">
        <f t="shared" si="53"/>
        <v>10090.16215225091</v>
      </c>
      <c r="I97" s="135">
        <f t="shared" si="53"/>
        <v>15643.498337402621</v>
      </c>
      <c r="J97" s="135">
        <f t="shared" si="53"/>
        <v>24055.368780958939</v>
      </c>
      <c r="K97" s="135">
        <f t="shared" si="53"/>
        <v>22957.984635362547</v>
      </c>
      <c r="L97" s="135">
        <f t="shared" si="53"/>
        <v>15677.837225088526</v>
      </c>
      <c r="M97" s="135">
        <f t="shared" si="53"/>
        <v>8469.8564626436255</v>
      </c>
      <c r="N97" s="135">
        <f t="shared" si="53"/>
        <v>4946.1366303211307</v>
      </c>
      <c r="O97" s="135">
        <f t="shared" si="53"/>
        <v>4667.5411943338131</v>
      </c>
      <c r="P97" s="110" t="s">
        <v>227</v>
      </c>
    </row>
    <row r="98" spans="1:29">
      <c r="A98" s="251" t="s">
        <v>236</v>
      </c>
      <c r="B98" s="169" t="s">
        <v>176</v>
      </c>
      <c r="C98" s="169" t="s">
        <v>173</v>
      </c>
      <c r="D98" s="135">
        <f>D96+D80+D79</f>
        <v>10539.893786090081</v>
      </c>
      <c r="E98" s="135">
        <f t="shared" ref="E98:O98" si="54">E96+E80+E79</f>
        <v>12166.617861748728</v>
      </c>
      <c r="F98" s="135">
        <f t="shared" si="54"/>
        <v>16680.786218892456</v>
      </c>
      <c r="G98" s="135">
        <f t="shared" si="54"/>
        <v>19528.499896002879</v>
      </c>
      <c r="H98" s="135">
        <f t="shared" si="54"/>
        <v>23324.703080341984</v>
      </c>
      <c r="I98" s="135">
        <f t="shared" si="54"/>
        <v>24241.411043628163</v>
      </c>
      <c r="J98" s="135">
        <f t="shared" si="54"/>
        <v>27211.251263642222</v>
      </c>
      <c r="K98" s="135">
        <f t="shared" si="54"/>
        <v>24493.81129958059</v>
      </c>
      <c r="L98" s="135">
        <f t="shared" si="54"/>
        <v>18648.957426236786</v>
      </c>
      <c r="M98" s="135">
        <f t="shared" si="54"/>
        <v>14742.198257397818</v>
      </c>
      <c r="N98" s="135">
        <f t="shared" si="54"/>
        <v>10940.943102856843</v>
      </c>
      <c r="O98" s="135">
        <f t="shared" si="54"/>
        <v>9930.6416959561247</v>
      </c>
      <c r="P98" s="110" t="s">
        <v>228</v>
      </c>
    </row>
    <row r="99" spans="1:29" ht="15">
      <c r="A99" s="251" t="s">
        <v>237</v>
      </c>
      <c r="B99" s="250" t="s">
        <v>189</v>
      </c>
      <c r="C99" s="169" t="s">
        <v>174</v>
      </c>
      <c r="D99" s="209">
        <f>IF(D76=0,0,D97/D76)</f>
        <v>0.12430254449454148</v>
      </c>
      <c r="E99" s="209">
        <f t="shared" ref="E99:O99" si="55">IF(E76=0,0,E97/E76)</f>
        <v>0.1604668551638754</v>
      </c>
      <c r="F99" s="209">
        <f t="shared" si="55"/>
        <v>0.22920442360121787</v>
      </c>
      <c r="G99" s="209">
        <f t="shared" si="55"/>
        <v>0.35638907884689397</v>
      </c>
      <c r="H99" s="209">
        <f t="shared" si="55"/>
        <v>0.88610836375399182</v>
      </c>
      <c r="I99" s="209">
        <f t="shared" si="55"/>
        <v>4.649227086805543</v>
      </c>
      <c r="J99" s="209">
        <f t="shared" si="55"/>
        <v>68.650648695688076</v>
      </c>
      <c r="K99" s="209">
        <f t="shared" si="55"/>
        <v>105.41732366748212</v>
      </c>
      <c r="L99" s="209">
        <f t="shared" si="55"/>
        <v>6.2614503357326976</v>
      </c>
      <c r="M99" s="209">
        <f t="shared" si="55"/>
        <v>0.78728435109629258</v>
      </c>
      <c r="N99" s="209">
        <f t="shared" si="55"/>
        <v>0.20208849204088211</v>
      </c>
      <c r="O99" s="209">
        <f t="shared" si="55"/>
        <v>0.13083749538238992</v>
      </c>
    </row>
    <row r="100" spans="1:29" ht="15">
      <c r="A100" s="251" t="s">
        <v>238</v>
      </c>
      <c r="B100" s="250" t="s">
        <v>190</v>
      </c>
      <c r="C100" s="156" t="s">
        <v>177</v>
      </c>
      <c r="D100" s="209">
        <f t="shared" ref="D100:O100" si="56">D78/D98</f>
        <v>10.600401823009907</v>
      </c>
      <c r="E100" s="209">
        <f t="shared" si="56"/>
        <v>7.9172845919362951</v>
      </c>
      <c r="F100" s="209">
        <f t="shared" si="56"/>
        <v>5.7820686066920857</v>
      </c>
      <c r="G100" s="209">
        <f t="shared" si="56"/>
        <v>4.1892564039875326</v>
      </c>
      <c r="H100" s="209">
        <f t="shared" si="56"/>
        <v>2.7370958033333275</v>
      </c>
      <c r="I100" s="209">
        <f t="shared" si="56"/>
        <v>1.612375418231845</v>
      </c>
      <c r="J100" s="209">
        <f t="shared" si="56"/>
        <v>0.84431334119858781</v>
      </c>
      <c r="K100" s="209">
        <f t="shared" si="56"/>
        <v>0.94095655018762481</v>
      </c>
      <c r="L100" s="209">
        <f t="shared" si="56"/>
        <v>1.8053983794092532</v>
      </c>
      <c r="M100" s="209">
        <f t="shared" si="56"/>
        <v>4.0047907189535525</v>
      </c>
      <c r="N100" s="209">
        <f t="shared" si="56"/>
        <v>7.8141325062805995</v>
      </c>
      <c r="O100" s="209">
        <f t="shared" si="56"/>
        <v>10.714078786280892</v>
      </c>
    </row>
    <row r="101" spans="1:29" ht="15">
      <c r="A101" s="251"/>
      <c r="B101" s="250" t="s">
        <v>191</v>
      </c>
      <c r="C101" s="156" t="s">
        <v>11</v>
      </c>
      <c r="D101" s="209">
        <f>D75/(D54+D58)/60/60</f>
        <v>2.9731867590776326E-2</v>
      </c>
      <c r="E101" s="209">
        <f t="shared" ref="E101:O101" si="57">E75/(E54+E58)/60/60</f>
        <v>2.9731867590776326E-2</v>
      </c>
      <c r="F101" s="209">
        <f t="shared" si="57"/>
        <v>2.9731867590776326E-2</v>
      </c>
      <c r="G101" s="209">
        <f t="shared" si="57"/>
        <v>2.9731867590776326E-2</v>
      </c>
      <c r="H101" s="209">
        <f t="shared" si="57"/>
        <v>2.9731867590776326E-2</v>
      </c>
      <c r="I101" s="209">
        <f>I75/(I54+I58)/60/60</f>
        <v>2.9731867590776326E-2</v>
      </c>
      <c r="J101" s="209">
        <f>J75/(J54+J58)/60/60</f>
        <v>2.9731867590776326E-2</v>
      </c>
      <c r="K101" s="209">
        <f>K75/(K54+K58)/60/60</f>
        <v>2.9731867590776326E-2</v>
      </c>
      <c r="L101" s="209">
        <f>L75/(L54+L58)/60/60</f>
        <v>2.9731867590776326E-2</v>
      </c>
      <c r="M101" s="209">
        <f t="shared" si="57"/>
        <v>2.9731867590776326E-2</v>
      </c>
      <c r="N101" s="209">
        <f t="shared" si="57"/>
        <v>2.9731867590776326E-2</v>
      </c>
      <c r="O101" s="209">
        <f t="shared" si="57"/>
        <v>2.9731867590776326E-2</v>
      </c>
    </row>
    <row r="102" spans="1:29" ht="15">
      <c r="A102" s="251"/>
      <c r="B102" s="250" t="s">
        <v>192</v>
      </c>
      <c r="C102" s="156" t="s">
        <v>11</v>
      </c>
      <c r="D102" s="209">
        <f>D75/(D56+D59)/60/60</f>
        <v>1.6346828696639303E-2</v>
      </c>
      <c r="E102" s="209">
        <f t="shared" ref="E102:O102" si="58">E75/(E56+E59)/60/60</f>
        <v>1.6346828696639303E-2</v>
      </c>
      <c r="F102" s="209">
        <f t="shared" si="58"/>
        <v>1.6346828696639303E-2</v>
      </c>
      <c r="G102" s="209">
        <f t="shared" si="58"/>
        <v>1.6346828696639303E-2</v>
      </c>
      <c r="H102" s="209">
        <f t="shared" si="58"/>
        <v>1.6346828696639303E-2</v>
      </c>
      <c r="I102" s="209">
        <f t="shared" si="58"/>
        <v>1.6346828696639303E-2</v>
      </c>
      <c r="J102" s="209">
        <f t="shared" si="58"/>
        <v>1.6346828696639303E-2</v>
      </c>
      <c r="K102" s="209">
        <f t="shared" si="58"/>
        <v>1.6346828696639303E-2</v>
      </c>
      <c r="L102" s="209">
        <f t="shared" si="58"/>
        <v>1.6346828696639303E-2</v>
      </c>
      <c r="M102" s="209">
        <f t="shared" si="58"/>
        <v>1.6346828696639303E-2</v>
      </c>
      <c r="N102" s="209">
        <f t="shared" si="58"/>
        <v>1.6346828696639303E-2</v>
      </c>
      <c r="O102" s="209">
        <f t="shared" si="58"/>
        <v>1.6346828696639303E-2</v>
      </c>
    </row>
    <row r="103" spans="1:29" ht="15">
      <c r="A103" s="251"/>
      <c r="B103" s="169" t="s">
        <v>60</v>
      </c>
      <c r="C103" s="156" t="s">
        <v>193</v>
      </c>
      <c r="D103" s="209">
        <f>1+D101/15</f>
        <v>1.0019821245060518</v>
      </c>
      <c r="E103" s="209">
        <f t="shared" ref="E103:O103" si="59">1+E101/15</f>
        <v>1.0019821245060518</v>
      </c>
      <c r="F103" s="209">
        <f t="shared" si="59"/>
        <v>1.0019821245060518</v>
      </c>
      <c r="G103" s="209">
        <f t="shared" si="59"/>
        <v>1.0019821245060518</v>
      </c>
      <c r="H103" s="209">
        <f t="shared" si="59"/>
        <v>1.0019821245060518</v>
      </c>
      <c r="I103" s="209">
        <f t="shared" si="59"/>
        <v>1.0019821245060518</v>
      </c>
      <c r="J103" s="209">
        <f t="shared" si="59"/>
        <v>1.0019821245060518</v>
      </c>
      <c r="K103" s="209">
        <f t="shared" si="59"/>
        <v>1.0019821245060518</v>
      </c>
      <c r="L103" s="209">
        <f t="shared" si="59"/>
        <v>1.0019821245060518</v>
      </c>
      <c r="M103" s="209">
        <f t="shared" si="59"/>
        <v>1.0019821245060518</v>
      </c>
      <c r="N103" s="209">
        <f t="shared" si="59"/>
        <v>1.0019821245060518</v>
      </c>
      <c r="O103" s="209">
        <f t="shared" si="59"/>
        <v>1.0019821245060518</v>
      </c>
    </row>
    <row r="104" spans="1:29" ht="15">
      <c r="A104" s="251"/>
      <c r="B104" s="169" t="s">
        <v>61</v>
      </c>
      <c r="C104" s="156" t="s">
        <v>193</v>
      </c>
      <c r="D104" s="209">
        <f>1+D102/15</f>
        <v>1.001089788579776</v>
      </c>
      <c r="E104" s="209">
        <f t="shared" ref="E104:O104" si="60">1+E101/15</f>
        <v>1.0019821245060518</v>
      </c>
      <c r="F104" s="209">
        <f t="shared" si="60"/>
        <v>1.0019821245060518</v>
      </c>
      <c r="G104" s="209">
        <f t="shared" si="60"/>
        <v>1.0019821245060518</v>
      </c>
      <c r="H104" s="209">
        <f t="shared" si="60"/>
        <v>1.0019821245060518</v>
      </c>
      <c r="I104" s="209">
        <f t="shared" si="60"/>
        <v>1.0019821245060518</v>
      </c>
      <c r="J104" s="209">
        <f t="shared" si="60"/>
        <v>1.0019821245060518</v>
      </c>
      <c r="K104" s="209">
        <f t="shared" si="60"/>
        <v>1.0019821245060518</v>
      </c>
      <c r="L104" s="209">
        <f t="shared" si="60"/>
        <v>1.0019821245060518</v>
      </c>
      <c r="M104" s="209">
        <f t="shared" si="60"/>
        <v>1.0019821245060518</v>
      </c>
      <c r="N104" s="209">
        <f t="shared" si="60"/>
        <v>1.0019821245060518</v>
      </c>
      <c r="O104" s="209">
        <f t="shared" si="60"/>
        <v>1.0019821245060518</v>
      </c>
    </row>
    <row r="105" spans="1:29" ht="17.25">
      <c r="A105" s="251"/>
      <c r="B105" s="250" t="s">
        <v>194</v>
      </c>
      <c r="C105" s="156" t="s">
        <v>195</v>
      </c>
      <c r="D105" s="209">
        <f t="shared" ref="D105:O105" si="61">IF(D76=1,D103/(D103+1),(1-D99^D103)/(1-D99^(D103+1)))</f>
        <v>0.88990341117347282</v>
      </c>
      <c r="E105" s="209">
        <f t="shared" si="61"/>
        <v>0.86223591103301245</v>
      </c>
      <c r="F105" s="209">
        <f t="shared" si="61"/>
        <v>0.81410806113720335</v>
      </c>
      <c r="G105" s="209">
        <f t="shared" si="61"/>
        <v>0.73786627788589443</v>
      </c>
      <c r="H105" s="209">
        <f t="shared" si="61"/>
        <v>0.53071588408702364</v>
      </c>
      <c r="I105" s="209">
        <f t="shared" si="61"/>
        <v>0.17713675981124927</v>
      </c>
      <c r="J105" s="209">
        <f t="shared" si="61"/>
        <v>1.4359114196366055E-2</v>
      </c>
      <c r="K105" s="209">
        <f t="shared" si="61"/>
        <v>9.3977855446312503E-3</v>
      </c>
      <c r="L105" s="209">
        <f t="shared" si="61"/>
        <v>0.13779544248821804</v>
      </c>
      <c r="M105" s="209">
        <f t="shared" si="61"/>
        <v>0.56005676194695542</v>
      </c>
      <c r="N105" s="209">
        <f t="shared" si="61"/>
        <v>0.83244008640422795</v>
      </c>
      <c r="O105" s="209">
        <f t="shared" si="61"/>
        <v>0.88477390458619898</v>
      </c>
    </row>
    <row r="106" spans="1:29" ht="17.25">
      <c r="A106" s="252"/>
      <c r="B106" s="250" t="s">
        <v>196</v>
      </c>
      <c r="C106" s="156" t="s">
        <v>197</v>
      </c>
      <c r="D106" s="209">
        <f>IF(D100=1,D104/(D104+1),IF(D100&lt;0,1,(1-D100^D104)/(1-D100^(D104+1))))</f>
        <v>8.6224993659821184E-2</v>
      </c>
      <c r="E106" s="209">
        <f t="shared" ref="E106:O106" si="62">IF(E100=1,E104/(E104+1),IF(E100&lt;0,1,(1-E100^E104)/(1-E100^(E104+1))))</f>
        <v>0.11220066705604573</v>
      </c>
      <c r="F106" s="209">
        <f t="shared" si="62"/>
        <v>0.14753890059297828</v>
      </c>
      <c r="G106" s="209">
        <f t="shared" si="62"/>
        <v>0.19284412350162991</v>
      </c>
      <c r="H106" s="209">
        <f t="shared" si="62"/>
        <v>0.26781234516052915</v>
      </c>
      <c r="I106" s="209">
        <f t="shared" si="62"/>
        <v>0.3831583030766923</v>
      </c>
      <c r="J106" s="209">
        <f t="shared" si="62"/>
        <v>0.54274148498639296</v>
      </c>
      <c r="K106" s="209">
        <f t="shared" si="62"/>
        <v>0.51571966864057905</v>
      </c>
      <c r="L106" s="209">
        <f t="shared" si="62"/>
        <v>0.35678877247372837</v>
      </c>
      <c r="M106" s="209">
        <f t="shared" si="62"/>
        <v>0.19995466422184369</v>
      </c>
      <c r="N106" s="209">
        <f t="shared" si="62"/>
        <v>0.11351418572793606</v>
      </c>
      <c r="O106" s="209">
        <f t="shared" si="62"/>
        <v>8.5405054879004558E-2</v>
      </c>
    </row>
    <row r="107" spans="1:29" ht="15" thickBot="1"/>
    <row r="108" spans="1:29" ht="15.75" thickBot="1">
      <c r="A108" s="109" t="s">
        <v>85</v>
      </c>
      <c r="D108" s="111" t="str">
        <f>INDEX(R110:R112,DATA!$G$4)</f>
        <v>Enero</v>
      </c>
      <c r="E108" s="111" t="str">
        <f>INDEX(S110:S112,DATA!$G$4)</f>
        <v>Febrero</v>
      </c>
      <c r="F108" s="111" t="str">
        <f>INDEX(T110:T112,DATA!$G$4)</f>
        <v>Marzo</v>
      </c>
      <c r="G108" s="111" t="str">
        <f>INDEX(U110:U112,DATA!$G$4)</f>
        <v>Abril</v>
      </c>
      <c r="H108" s="111" t="str">
        <f>INDEX(V110:V112,DATA!$G$4)</f>
        <v>Mayo</v>
      </c>
      <c r="I108" s="111" t="str">
        <f>INDEX(W110:W112,DATA!$G$4)</f>
        <v>Junio</v>
      </c>
      <c r="J108" s="111" t="str">
        <f>INDEX(X110:X112,DATA!$G$4)</f>
        <v>Julio</v>
      </c>
      <c r="K108" s="111" t="str">
        <f>INDEX(Y110:Y112,DATA!$G$4)</f>
        <v>Agosto</v>
      </c>
      <c r="L108" s="111" t="str">
        <f>INDEX(Z110:Z112,DATA!$G$4)</f>
        <v>Septiembre</v>
      </c>
      <c r="M108" s="111" t="str">
        <f>INDEX(AA110:AA112,DATA!$G$4)</f>
        <v>Octubre</v>
      </c>
      <c r="N108" s="111" t="str">
        <f>INDEX(AB110:AB112,DATA!$G$4)</f>
        <v>Noviembre</v>
      </c>
      <c r="O108" s="111" t="str">
        <f>INDEX(AC110:AC112,DATA!$G$4)</f>
        <v>Diciembre</v>
      </c>
    </row>
    <row r="109" spans="1:29" ht="15">
      <c r="A109" s="114"/>
      <c r="B109" s="115" t="s">
        <v>180</v>
      </c>
      <c r="C109" s="115"/>
      <c r="D109" s="116">
        <f t="shared" ref="D109:O109" si="63">IF(D76-D105*D97&lt;0,0,D76-D105*D97)</f>
        <v>34400.213223163526</v>
      </c>
      <c r="E109" s="117">
        <f t="shared" si="63"/>
        <v>27719.268342109383</v>
      </c>
      <c r="F109" s="117">
        <f t="shared" si="63"/>
        <v>24006.584744292071</v>
      </c>
      <c r="G109" s="117">
        <f t="shared" si="63"/>
        <v>16168.889976038961</v>
      </c>
      <c r="H109" s="117">
        <f t="shared" si="63"/>
        <v>6032.0428268867236</v>
      </c>
      <c r="I109" s="117">
        <f t="shared" si="63"/>
        <v>593.71386529983647</v>
      </c>
      <c r="J109" s="117">
        <f t="shared" si="63"/>
        <v>4.9888561385118351</v>
      </c>
      <c r="K109" s="117">
        <f t="shared" si="63"/>
        <v>2.0276800099236709</v>
      </c>
      <c r="L109" s="117">
        <f t="shared" si="63"/>
        <v>343.53221996066986</v>
      </c>
      <c r="M109" s="117">
        <f t="shared" si="63"/>
        <v>6014.7189581263165</v>
      </c>
      <c r="N109" s="117">
        <f t="shared" si="63"/>
        <v>20357.74046003836</v>
      </c>
      <c r="O109" s="118">
        <f t="shared" si="63"/>
        <v>31544.620583122334</v>
      </c>
    </row>
    <row r="110" spans="1:29" ht="15.75" thickBot="1">
      <c r="A110" s="119"/>
      <c r="B110" s="120" t="s">
        <v>181</v>
      </c>
      <c r="C110" s="121"/>
      <c r="D110" s="122">
        <f t="shared" ref="D110:O110" si="64">IF(D98-D106*D78&lt;0,0,D98-D106*D78)</f>
        <v>906.22449468803461</v>
      </c>
      <c r="E110" s="123">
        <f t="shared" si="64"/>
        <v>1358.7117644235823</v>
      </c>
      <c r="F110" s="123">
        <f t="shared" si="64"/>
        <v>2450.7403542301363</v>
      </c>
      <c r="G110" s="123">
        <f t="shared" si="64"/>
        <v>3751.9427385218696</v>
      </c>
      <c r="H110" s="123">
        <f t="shared" si="64"/>
        <v>6227.0415573682658</v>
      </c>
      <c r="I110" s="123">
        <f t="shared" si="64"/>
        <v>9265.187800752532</v>
      </c>
      <c r="J110" s="123">
        <f t="shared" si="64"/>
        <v>14741.861997564512</v>
      </c>
      <c r="K110" s="123">
        <f t="shared" si="64"/>
        <v>12607.704382432401</v>
      </c>
      <c r="L110" s="123">
        <f t="shared" si="64"/>
        <v>6636.3084901934017</v>
      </c>
      <c r="M110" s="123">
        <f t="shared" si="64"/>
        <v>2936.9911037491147</v>
      </c>
      <c r="N110" s="123">
        <f t="shared" si="64"/>
        <v>1236.163675071537</v>
      </c>
      <c r="O110" s="124">
        <f t="shared" si="64"/>
        <v>843.74220761032848</v>
      </c>
      <c r="R110" s="738" t="s">
        <v>13</v>
      </c>
      <c r="S110" s="738" t="s">
        <v>38</v>
      </c>
      <c r="T110" s="738" t="s">
        <v>39</v>
      </c>
      <c r="U110" s="738" t="s">
        <v>40</v>
      </c>
      <c r="V110" s="738" t="s">
        <v>41</v>
      </c>
      <c r="W110" s="738" t="s">
        <v>42</v>
      </c>
      <c r="X110" s="738" t="s">
        <v>43</v>
      </c>
      <c r="Y110" s="738" t="s">
        <v>19</v>
      </c>
      <c r="Z110" s="738" t="s">
        <v>44</v>
      </c>
      <c r="AA110" s="738" t="s">
        <v>45</v>
      </c>
      <c r="AB110" s="738" t="s">
        <v>46</v>
      </c>
      <c r="AC110" s="738" t="s">
        <v>47</v>
      </c>
    </row>
    <row r="111" spans="1:29" ht="15.75" thickBot="1">
      <c r="A111" s="218"/>
      <c r="B111" s="219"/>
      <c r="C111" s="219"/>
      <c r="D111" s="111" t="str">
        <f>D108</f>
        <v>Enero</v>
      </c>
      <c r="E111" s="111" t="str">
        <f t="shared" ref="E111:O111" si="65">E108</f>
        <v>Febrero</v>
      </c>
      <c r="F111" s="111" t="str">
        <f t="shared" si="65"/>
        <v>Marzo</v>
      </c>
      <c r="G111" s="111" t="str">
        <f t="shared" si="65"/>
        <v>Abril</v>
      </c>
      <c r="H111" s="111" t="str">
        <f t="shared" si="65"/>
        <v>Mayo</v>
      </c>
      <c r="I111" s="111" t="str">
        <f t="shared" si="65"/>
        <v>Junio</v>
      </c>
      <c r="J111" s="111" t="str">
        <f t="shared" si="65"/>
        <v>Julio</v>
      </c>
      <c r="K111" s="111" t="str">
        <f t="shared" si="65"/>
        <v>Agosto</v>
      </c>
      <c r="L111" s="111" t="str">
        <f t="shared" si="65"/>
        <v>Septiembre</v>
      </c>
      <c r="M111" s="111" t="str">
        <f t="shared" si="65"/>
        <v>Octubre</v>
      </c>
      <c r="N111" s="111" t="str">
        <f t="shared" si="65"/>
        <v>Noviembre</v>
      </c>
      <c r="O111" s="111" t="str">
        <f t="shared" si="65"/>
        <v>Diciembre</v>
      </c>
      <c r="R111" s="111" t="s">
        <v>832</v>
      </c>
      <c r="S111" s="112" t="s">
        <v>842</v>
      </c>
      <c r="T111" s="112" t="s">
        <v>833</v>
      </c>
      <c r="U111" s="112" t="s">
        <v>834</v>
      </c>
      <c r="V111" s="112" t="s">
        <v>835</v>
      </c>
      <c r="W111" s="112" t="s">
        <v>836</v>
      </c>
      <c r="X111" s="112" t="s">
        <v>837</v>
      </c>
      <c r="Y111" s="112" t="s">
        <v>838</v>
      </c>
      <c r="Z111" s="112" t="s">
        <v>839</v>
      </c>
      <c r="AA111" s="112" t="s">
        <v>840</v>
      </c>
      <c r="AB111" s="112" t="s">
        <v>841</v>
      </c>
      <c r="AC111" s="113" t="s">
        <v>843</v>
      </c>
    </row>
    <row r="112" spans="1:29" ht="15">
      <c r="A112" s="125">
        <f>SUM(D112:O112)</f>
        <v>166244.0791137777</v>
      </c>
      <c r="B112" s="367" t="s">
        <v>346</v>
      </c>
      <c r="C112" s="363" t="str">
        <f>INDEX(S116:U116,DATA!$G$4)</f>
        <v>CALEFACCION (Final)</v>
      </c>
      <c r="D112" s="117">
        <f>IF(D109&gt;0.8*D110,D109,0)</f>
        <v>34400.213223163526</v>
      </c>
      <c r="E112" s="117">
        <f t="shared" ref="E112:O112" si="66">IF(E109&gt;0.8*E110,E109,0)</f>
        <v>27719.268342109383</v>
      </c>
      <c r="F112" s="117">
        <f t="shared" si="66"/>
        <v>24006.584744292071</v>
      </c>
      <c r="G112" s="117">
        <f t="shared" si="66"/>
        <v>16168.889976038961</v>
      </c>
      <c r="H112" s="117">
        <f t="shared" si="66"/>
        <v>6032.0428268867236</v>
      </c>
      <c r="I112" s="117">
        <f t="shared" si="66"/>
        <v>0</v>
      </c>
      <c r="J112" s="117">
        <f t="shared" si="66"/>
        <v>0</v>
      </c>
      <c r="K112" s="117">
        <f t="shared" si="66"/>
        <v>0</v>
      </c>
      <c r="L112" s="117">
        <f t="shared" si="66"/>
        <v>0</v>
      </c>
      <c r="M112" s="117">
        <f t="shared" si="66"/>
        <v>6014.7189581263165</v>
      </c>
      <c r="N112" s="117">
        <f t="shared" si="66"/>
        <v>20357.74046003836</v>
      </c>
      <c r="O112" s="118">
        <f t="shared" si="66"/>
        <v>31544.620583122334</v>
      </c>
      <c r="R112" s="738" t="s">
        <v>1339</v>
      </c>
      <c r="S112" s="738" t="s">
        <v>1348</v>
      </c>
      <c r="T112" s="738" t="s">
        <v>1340</v>
      </c>
      <c r="U112" s="738" t="s">
        <v>1349</v>
      </c>
      <c r="V112" s="738" t="s">
        <v>1341</v>
      </c>
      <c r="W112" s="738" t="s">
        <v>1342</v>
      </c>
      <c r="X112" s="738" t="s">
        <v>1343</v>
      </c>
      <c r="Y112" s="738" t="s">
        <v>1344</v>
      </c>
      <c r="Z112" s="738" t="s">
        <v>1345</v>
      </c>
      <c r="AA112" s="738" t="s">
        <v>1346</v>
      </c>
      <c r="AB112" s="738" t="s">
        <v>1347</v>
      </c>
      <c r="AC112" s="738" t="s">
        <v>1350</v>
      </c>
    </row>
    <row r="113" spans="1:21" ht="15.75" thickBot="1">
      <c r="A113" s="126">
        <f>SUM(D113:O113)</f>
        <v>49478.104228311116</v>
      </c>
      <c r="B113" s="368" t="s">
        <v>346</v>
      </c>
      <c r="C113" s="365" t="str">
        <f>INDEX(S117:U117,DATA!$G$4)</f>
        <v>REFRIGERACION (Final)</v>
      </c>
      <c r="D113" s="369">
        <f>IF(D110&gt;0.8*D109,D110,0)</f>
        <v>0</v>
      </c>
      <c r="E113" s="369">
        <f t="shared" ref="E113:O113" si="67">IF(E110&gt;0.8*E109,E110,0)</f>
        <v>0</v>
      </c>
      <c r="F113" s="369">
        <f t="shared" si="67"/>
        <v>0</v>
      </c>
      <c r="G113" s="369">
        <f t="shared" si="67"/>
        <v>0</v>
      </c>
      <c r="H113" s="369">
        <f t="shared" si="67"/>
        <v>6227.0415573682658</v>
      </c>
      <c r="I113" s="369">
        <f t="shared" si="67"/>
        <v>9265.187800752532</v>
      </c>
      <c r="J113" s="369">
        <f t="shared" si="67"/>
        <v>14741.861997564512</v>
      </c>
      <c r="K113" s="369">
        <f t="shared" si="67"/>
        <v>12607.704382432401</v>
      </c>
      <c r="L113" s="369">
        <f t="shared" si="67"/>
        <v>6636.3084901934017</v>
      </c>
      <c r="M113" s="369">
        <f t="shared" si="67"/>
        <v>0</v>
      </c>
      <c r="N113" s="369">
        <f t="shared" si="67"/>
        <v>0</v>
      </c>
      <c r="O113" s="370">
        <f t="shared" si="67"/>
        <v>0</v>
      </c>
    </row>
    <row r="114" spans="1:21" ht="15">
      <c r="B114" s="201" t="s">
        <v>347</v>
      </c>
      <c r="C114" s="363" t="str">
        <f>C112</f>
        <v>CALEFACCION (Final)</v>
      </c>
      <c r="D114" s="371">
        <f>D112/$D$3</f>
        <v>21.737891452236035</v>
      </c>
      <c r="E114" s="371">
        <f t="shared" ref="E114:O114" si="68">E112/$D$3</f>
        <v>17.516125334666278</v>
      </c>
      <c r="F114" s="371">
        <f t="shared" si="68"/>
        <v>15.170037753107154</v>
      </c>
      <c r="G114" s="371">
        <f t="shared" si="68"/>
        <v>10.217308041730782</v>
      </c>
      <c r="H114" s="371">
        <f t="shared" si="68"/>
        <v>3.811717426152748</v>
      </c>
      <c r="I114" s="371">
        <f t="shared" si="68"/>
        <v>0</v>
      </c>
      <c r="J114" s="371">
        <f t="shared" si="68"/>
        <v>0</v>
      </c>
      <c r="K114" s="371">
        <f t="shared" si="68"/>
        <v>0</v>
      </c>
      <c r="L114" s="371">
        <f t="shared" si="68"/>
        <v>0</v>
      </c>
      <c r="M114" s="371">
        <f t="shared" si="68"/>
        <v>3.8007702736975144</v>
      </c>
      <c r="N114" s="371">
        <f t="shared" si="68"/>
        <v>12.864290970008442</v>
      </c>
      <c r="O114" s="372">
        <f t="shared" si="68"/>
        <v>19.933409531198947</v>
      </c>
    </row>
    <row r="115" spans="1:21" ht="15.75" thickBot="1">
      <c r="B115" s="212" t="s">
        <v>347</v>
      </c>
      <c r="C115" s="365" t="str">
        <f>C113</f>
        <v>REFRIGERACION (Final)</v>
      </c>
      <c r="D115" s="373">
        <f>D113/$D$3</f>
        <v>0</v>
      </c>
      <c r="E115" s="373">
        <f t="shared" ref="E115:O115" si="69">E113/$D$3</f>
        <v>0</v>
      </c>
      <c r="F115" s="373">
        <f t="shared" si="69"/>
        <v>0</v>
      </c>
      <c r="G115" s="373">
        <f t="shared" si="69"/>
        <v>0</v>
      </c>
      <c r="H115" s="373">
        <f t="shared" si="69"/>
        <v>3.9349393727445596</v>
      </c>
      <c r="I115" s="373">
        <f t="shared" si="69"/>
        <v>5.854779021012658</v>
      </c>
      <c r="J115" s="373">
        <f t="shared" si="69"/>
        <v>9.3155526050960589</v>
      </c>
      <c r="K115" s="373">
        <f t="shared" si="69"/>
        <v>7.9669537961658143</v>
      </c>
      <c r="L115" s="373">
        <f t="shared" si="69"/>
        <v>4.1935598674207908</v>
      </c>
      <c r="M115" s="373">
        <f t="shared" si="69"/>
        <v>0</v>
      </c>
      <c r="N115" s="373">
        <f t="shared" si="69"/>
        <v>0</v>
      </c>
      <c r="O115" s="374">
        <f t="shared" si="69"/>
        <v>0</v>
      </c>
    </row>
    <row r="116" spans="1:21" ht="15">
      <c r="A116" s="201"/>
      <c r="B116" s="361" t="s">
        <v>131</v>
      </c>
      <c r="C116" s="362" t="s">
        <v>132</v>
      </c>
      <c r="D116" s="248" t="s">
        <v>133</v>
      </c>
      <c r="E116" s="110" t="s">
        <v>134</v>
      </c>
      <c r="F116" s="110" t="s">
        <v>144</v>
      </c>
      <c r="S116" s="223" t="s">
        <v>1351</v>
      </c>
      <c r="T116" s="363" t="s">
        <v>844</v>
      </c>
      <c r="U116" s="223" t="s">
        <v>1353</v>
      </c>
    </row>
    <row r="117" spans="1:21" ht="15.75" thickBot="1">
      <c r="A117" s="204" t="s">
        <v>129</v>
      </c>
      <c r="B117" s="210">
        <f>A112</f>
        <v>166244.0791137777</v>
      </c>
      <c r="C117" s="143">
        <v>0.8</v>
      </c>
      <c r="D117" s="211">
        <f>B117/C117</f>
        <v>207805.0988922221</v>
      </c>
      <c r="S117" s="223" t="s">
        <v>1352</v>
      </c>
      <c r="T117" s="365" t="s">
        <v>845</v>
      </c>
      <c r="U117" s="223" t="s">
        <v>1354</v>
      </c>
    </row>
    <row r="118" spans="1:21" ht="15.75" thickBot="1">
      <c r="A118" s="212" t="s">
        <v>130</v>
      </c>
      <c r="B118" s="213">
        <f>A113</f>
        <v>49478.104228311116</v>
      </c>
      <c r="C118" s="214">
        <v>2.2000000000000002</v>
      </c>
      <c r="D118" s="215">
        <f>B118/C118</f>
        <v>22490.047376505052</v>
      </c>
      <c r="S118" s="223" t="s">
        <v>1351</v>
      </c>
      <c r="T118" s="363" t="s">
        <v>844</v>
      </c>
      <c r="U118" s="223" t="s">
        <v>1353</v>
      </c>
    </row>
    <row r="119" spans="1:21" ht="15.75" thickBot="1">
      <c r="B119" s="244">
        <f>SUM(B117:B118)</f>
        <v>215722.18334208883</v>
      </c>
      <c r="D119" s="216">
        <f>D117+D118</f>
        <v>230295.14626872714</v>
      </c>
      <c r="S119" s="223" t="s">
        <v>1352</v>
      </c>
      <c r="T119" s="365" t="s">
        <v>845</v>
      </c>
      <c r="U119" s="223" t="s">
        <v>1354</v>
      </c>
    </row>
    <row r="121" spans="1:21">
      <c r="A121" s="110" t="s">
        <v>143</v>
      </c>
    </row>
    <row r="122" spans="1:21">
      <c r="A122" s="169" t="s">
        <v>135</v>
      </c>
      <c r="B122" s="169">
        <v>204</v>
      </c>
    </row>
    <row r="123" spans="1:21">
      <c r="A123" s="169" t="s">
        <v>136</v>
      </c>
      <c r="B123" s="169">
        <v>287</v>
      </c>
    </row>
    <row r="124" spans="1:21">
      <c r="A124" s="169" t="s">
        <v>137</v>
      </c>
      <c r="B124" s="169">
        <v>244</v>
      </c>
    </row>
    <row r="125" spans="1:21">
      <c r="A125" s="169" t="s">
        <v>138</v>
      </c>
      <c r="B125" s="169">
        <v>347</v>
      </c>
    </row>
    <row r="126" spans="1:21">
      <c r="A126" s="169" t="s">
        <v>139</v>
      </c>
      <c r="B126" s="169">
        <v>0</v>
      </c>
    </row>
    <row r="127" spans="1:21">
      <c r="A127" s="169" t="s">
        <v>140</v>
      </c>
      <c r="B127" s="169">
        <v>0</v>
      </c>
    </row>
    <row r="128" spans="1:21">
      <c r="A128" s="169" t="s">
        <v>141</v>
      </c>
      <c r="B128" s="169">
        <v>649</v>
      </c>
    </row>
    <row r="129" spans="1:16">
      <c r="A129" s="169" t="s">
        <v>142</v>
      </c>
      <c r="B129" s="169">
        <v>981</v>
      </c>
    </row>
    <row r="130" spans="1:16" ht="15" thickBot="1"/>
    <row r="131" spans="1:16" ht="15.75" thickBot="1">
      <c r="C131" s="147" t="s">
        <v>913</v>
      </c>
      <c r="D131" s="111" t="s">
        <v>832</v>
      </c>
      <c r="E131" s="112" t="s">
        <v>842</v>
      </c>
      <c r="F131" s="112" t="s">
        <v>833</v>
      </c>
      <c r="G131" s="112" t="s">
        <v>834</v>
      </c>
      <c r="H131" s="112" t="s">
        <v>835</v>
      </c>
      <c r="I131" s="112" t="s">
        <v>836</v>
      </c>
      <c r="J131" s="112" t="s">
        <v>837</v>
      </c>
      <c r="K131" s="112" t="s">
        <v>838</v>
      </c>
      <c r="L131" s="112" t="s">
        <v>839</v>
      </c>
      <c r="M131" s="112" t="s">
        <v>840</v>
      </c>
      <c r="N131" s="112" t="s">
        <v>841</v>
      </c>
      <c r="O131" s="113" t="s">
        <v>843</v>
      </c>
    </row>
    <row r="132" spans="1:16">
      <c r="C132" s="131" t="s">
        <v>285</v>
      </c>
      <c r="D132" s="132">
        <f t="shared" ref="D132:O132" si="70">IF(D112=0,0,D54*D43/1000)</f>
        <v>28146.944557400035</v>
      </c>
      <c r="E132" s="132">
        <f t="shared" si="70"/>
        <v>23566.194942399998</v>
      </c>
      <c r="F132" s="132">
        <f t="shared" si="70"/>
        <v>21966.827141599984</v>
      </c>
      <c r="G132" s="132">
        <f t="shared" si="70"/>
        <v>16618.662874500023</v>
      </c>
      <c r="H132" s="132">
        <f t="shared" si="70"/>
        <v>9493.0935745999923</v>
      </c>
      <c r="I132" s="132">
        <f t="shared" si="70"/>
        <v>0</v>
      </c>
      <c r="J132" s="132">
        <f t="shared" si="70"/>
        <v>0</v>
      </c>
      <c r="K132" s="132">
        <f t="shared" si="70"/>
        <v>0</v>
      </c>
      <c r="L132" s="132">
        <f t="shared" si="70"/>
        <v>0</v>
      </c>
      <c r="M132" s="132">
        <f t="shared" si="70"/>
        <v>7245.7444315000012</v>
      </c>
      <c r="N132" s="132">
        <f t="shared" si="70"/>
        <v>17485.8525587</v>
      </c>
      <c r="O132" s="132">
        <f t="shared" si="70"/>
        <v>25872.148007699998</v>
      </c>
    </row>
    <row r="133" spans="1:16">
      <c r="C133" s="381" t="s">
        <v>349</v>
      </c>
      <c r="D133" s="382">
        <f>IF(D112=0,0,$P$29*D43/1000)</f>
        <v>3172.7101854000034</v>
      </c>
      <c r="E133" s="382">
        <f t="shared" ref="E133:O133" si="71">IF(E112=0,0,$P$29*E43/1000)</f>
        <v>2656.3702703999998</v>
      </c>
      <c r="F133" s="382">
        <f t="shared" si="71"/>
        <v>2476.0902935999979</v>
      </c>
      <c r="G133" s="382">
        <f t="shared" si="71"/>
        <v>1873.2477645000026</v>
      </c>
      <c r="H133" s="382">
        <f t="shared" si="71"/>
        <v>1070.0569865999992</v>
      </c>
      <c r="I133" s="382">
        <f t="shared" si="71"/>
        <v>0</v>
      </c>
      <c r="J133" s="382">
        <f t="shared" si="71"/>
        <v>0</v>
      </c>
      <c r="K133" s="382">
        <f t="shared" si="71"/>
        <v>0</v>
      </c>
      <c r="L133" s="382">
        <f t="shared" si="71"/>
        <v>0</v>
      </c>
      <c r="M133" s="382">
        <f t="shared" si="71"/>
        <v>816.73686150000015</v>
      </c>
      <c r="N133" s="382">
        <f t="shared" si="71"/>
        <v>1970.9969727</v>
      </c>
      <c r="O133" s="382">
        <f t="shared" si="71"/>
        <v>2916.2962016999995</v>
      </c>
      <c r="P133" s="244">
        <f>SUM(D133:O133)</f>
        <v>16952.505536400004</v>
      </c>
    </row>
    <row r="134" spans="1:16">
      <c r="C134" s="381" t="s">
        <v>350</v>
      </c>
      <c r="D134" s="382">
        <f>IF(D112=0,0,$P$30*D43/1000)</f>
        <v>24974.234372000032</v>
      </c>
      <c r="E134" s="382">
        <f t="shared" ref="E134:O134" si="72">IF(E112=0,0,$P$30*E43/1000)</f>
        <v>20909.824672000002</v>
      </c>
      <c r="F134" s="382">
        <f t="shared" si="72"/>
        <v>19490.736847999986</v>
      </c>
      <c r="G134" s="382">
        <f t="shared" si="72"/>
        <v>14745.415110000024</v>
      </c>
      <c r="H134" s="382">
        <f t="shared" si="72"/>
        <v>8423.0365879999954</v>
      </c>
      <c r="I134" s="382">
        <f t="shared" si="72"/>
        <v>0</v>
      </c>
      <c r="J134" s="382">
        <f t="shared" si="72"/>
        <v>0</v>
      </c>
      <c r="K134" s="382">
        <f t="shared" si="72"/>
        <v>0</v>
      </c>
      <c r="L134" s="382">
        <f t="shared" si="72"/>
        <v>0</v>
      </c>
      <c r="M134" s="382">
        <f t="shared" si="72"/>
        <v>6429.0075700000016</v>
      </c>
      <c r="N134" s="382">
        <f t="shared" si="72"/>
        <v>15514.855586000003</v>
      </c>
      <c r="O134" s="382">
        <f t="shared" si="72"/>
        <v>22955.851806000002</v>
      </c>
      <c r="P134" s="244">
        <f>SUM(D134:O134)</f>
        <v>133442.96255200004</v>
      </c>
    </row>
    <row r="135" spans="1:16">
      <c r="C135" s="248" t="s">
        <v>286</v>
      </c>
      <c r="D135" s="132">
        <f t="shared" ref="D135:O135" si="73">IF(D112=0,0,IF(D55&lt;0,0,D55))</f>
        <v>5019.6936000000005</v>
      </c>
      <c r="E135" s="132">
        <f t="shared" si="73"/>
        <v>3989.1264000000001</v>
      </c>
      <c r="F135" s="132">
        <f t="shared" si="73"/>
        <v>3245.1047999999996</v>
      </c>
      <c r="G135" s="132">
        <f t="shared" si="73"/>
        <v>2064.6719999999996</v>
      </c>
      <c r="H135" s="132">
        <f t="shared" si="73"/>
        <v>34.893600000000141</v>
      </c>
      <c r="I135" s="132">
        <f t="shared" si="73"/>
        <v>0</v>
      </c>
      <c r="J135" s="132">
        <f t="shared" si="73"/>
        <v>0</v>
      </c>
      <c r="K135" s="132">
        <f t="shared" si="73"/>
        <v>0</v>
      </c>
      <c r="L135" s="132">
        <f t="shared" si="73"/>
        <v>0</v>
      </c>
      <c r="M135" s="132">
        <f t="shared" si="73"/>
        <v>2093.6159999999995</v>
      </c>
      <c r="N135" s="132">
        <f t="shared" si="73"/>
        <v>3564.9360000000006</v>
      </c>
      <c r="O135" s="132">
        <f t="shared" si="73"/>
        <v>4735.5600000000004</v>
      </c>
    </row>
    <row r="136" spans="1:16">
      <c r="C136" s="133" t="s">
        <v>287</v>
      </c>
      <c r="D136" s="134">
        <f t="shared" ref="D136:O136" si="74">IF(D112=0,0,D58*D43/1000)</f>
        <v>5512.1124105000081</v>
      </c>
      <c r="E136" s="134">
        <f t="shared" si="74"/>
        <v>4615.0485480000007</v>
      </c>
      <c r="F136" s="134">
        <f t="shared" si="74"/>
        <v>4301.8388819999973</v>
      </c>
      <c r="G136" s="134">
        <f t="shared" si="74"/>
        <v>3254.4895837500053</v>
      </c>
      <c r="H136" s="134">
        <f t="shared" si="74"/>
        <v>1859.0649794999993</v>
      </c>
      <c r="I136" s="134">
        <f t="shared" si="74"/>
        <v>0</v>
      </c>
      <c r="J136" s="134">
        <f t="shared" si="74"/>
        <v>0</v>
      </c>
      <c r="K136" s="134">
        <f t="shared" si="74"/>
        <v>0</v>
      </c>
      <c r="L136" s="134">
        <f t="shared" si="74"/>
        <v>0</v>
      </c>
      <c r="M136" s="134">
        <f t="shared" si="74"/>
        <v>1418.9589112500005</v>
      </c>
      <c r="N136" s="134">
        <f t="shared" si="74"/>
        <v>3424.3143052500013</v>
      </c>
      <c r="O136" s="134">
        <f t="shared" si="74"/>
        <v>5066.6312227500002</v>
      </c>
    </row>
    <row r="137" spans="1:16">
      <c r="C137" s="133" t="s">
        <v>288</v>
      </c>
      <c r="D137" s="134">
        <f>IF(D112=0,0,-D105*D88)</f>
        <v>-2175.1340969066091</v>
      </c>
      <c r="E137" s="134">
        <f t="shared" ref="E137:O137" si="75">IF(E112=0,0,-E105*E88)</f>
        <v>-2608.0506087426961</v>
      </c>
      <c r="F137" s="134">
        <f t="shared" si="75"/>
        <v>-3555.491792397575</v>
      </c>
      <c r="G137" s="134">
        <f t="shared" si="75"/>
        <v>-3910.4269483830294</v>
      </c>
      <c r="H137" s="134">
        <f t="shared" si="75"/>
        <v>-3421.2348340083126</v>
      </c>
      <c r="I137" s="134">
        <f t="shared" si="75"/>
        <v>0</v>
      </c>
      <c r="J137" s="134">
        <f t="shared" si="75"/>
        <v>0</v>
      </c>
      <c r="K137" s="134">
        <f t="shared" si="75"/>
        <v>0</v>
      </c>
      <c r="L137" s="134">
        <f t="shared" si="75"/>
        <v>0</v>
      </c>
      <c r="M137" s="134">
        <f t="shared" si="75"/>
        <v>-2092.8167271731613</v>
      </c>
      <c r="N137" s="134">
        <f t="shared" si="75"/>
        <v>-2156.8909178301365</v>
      </c>
      <c r="O137" s="134">
        <f t="shared" si="75"/>
        <v>-1990.9544943156252</v>
      </c>
    </row>
    <row r="138" spans="1:16">
      <c r="C138" s="133" t="s">
        <v>284</v>
      </c>
      <c r="D138" s="134">
        <f>IF(D112=0,0,-D105*D80)</f>
        <v>-2095.5089564948471</v>
      </c>
      <c r="E138" s="134">
        <f t="shared" ref="E138:O138" si="76">IF(E112=0,0,-E105*E80)</f>
        <v>-1833.8723144578937</v>
      </c>
      <c r="F138" s="134">
        <f t="shared" si="76"/>
        <v>-1917.0290980434411</v>
      </c>
      <c r="G138" s="134">
        <f t="shared" si="76"/>
        <v>-1681.4496740463765</v>
      </c>
      <c r="H138" s="134">
        <f t="shared" si="76"/>
        <v>-1249.7085352127599</v>
      </c>
      <c r="I138" s="134">
        <f t="shared" si="76"/>
        <v>0</v>
      </c>
      <c r="J138" s="134">
        <f t="shared" si="76"/>
        <v>0</v>
      </c>
      <c r="K138" s="134">
        <f t="shared" si="76"/>
        <v>0</v>
      </c>
      <c r="L138" s="134">
        <f t="shared" si="76"/>
        <v>0</v>
      </c>
      <c r="M138" s="134">
        <f t="shared" si="76"/>
        <v>-1318.799260762213</v>
      </c>
      <c r="N138" s="134">
        <f t="shared" si="76"/>
        <v>-1896.9644688979547</v>
      </c>
      <c r="O138" s="134">
        <f t="shared" si="76"/>
        <v>-2083.4301995633982</v>
      </c>
    </row>
    <row r="139" spans="1:16">
      <c r="C139" s="133" t="s">
        <v>289</v>
      </c>
      <c r="D139" s="134">
        <f t="shared" ref="D139:O139" si="77">IF(D112=0,0,-D105*D54*D44/1000)</f>
        <v>-6.6014975030284564</v>
      </c>
      <c r="E139" s="134">
        <f t="shared" si="77"/>
        <v>-7.6755047465657853</v>
      </c>
      <c r="F139" s="134">
        <f t="shared" si="77"/>
        <v>-28.988309150750872</v>
      </c>
      <c r="G139" s="134">
        <f t="shared" si="77"/>
        <v>-148.06231105877623</v>
      </c>
      <c r="H139" s="134">
        <f t="shared" si="77"/>
        <v>-572.04117784920516</v>
      </c>
      <c r="I139" s="134">
        <f t="shared" si="77"/>
        <v>0</v>
      </c>
      <c r="J139" s="134">
        <f t="shared" si="77"/>
        <v>0</v>
      </c>
      <c r="K139" s="134">
        <f t="shared" si="77"/>
        <v>0</v>
      </c>
      <c r="L139" s="134">
        <f t="shared" si="77"/>
        <v>0</v>
      </c>
      <c r="M139" s="134">
        <f t="shared" si="77"/>
        <v>-1113.8544671843431</v>
      </c>
      <c r="N139" s="134">
        <f t="shared" si="77"/>
        <v>-53.106909482814402</v>
      </c>
      <c r="O139" s="134">
        <f t="shared" si="77"/>
        <v>-46.272292219767948</v>
      </c>
    </row>
    <row r="140" spans="1:16">
      <c r="C140" s="383" t="s">
        <v>351</v>
      </c>
      <c r="D140" s="384">
        <f>IF(D112=0,0,-D105*$P$29*D44/1000)</f>
        <v>-0.7441176545482121</v>
      </c>
      <c r="E140" s="384">
        <f t="shared" ref="E140:O140" si="78">IF(E112=0,0,-E105*$P$29*E44/1000)</f>
        <v>-0.86517923953891418</v>
      </c>
      <c r="F140" s="384">
        <f t="shared" si="78"/>
        <v>-3.2675484016588032</v>
      </c>
      <c r="G140" s="384">
        <f t="shared" si="78"/>
        <v>-16.689513187197438</v>
      </c>
      <c r="H140" s="384">
        <f t="shared" si="78"/>
        <v>-64.480209129954488</v>
      </c>
      <c r="I140" s="384">
        <f t="shared" si="78"/>
        <v>0</v>
      </c>
      <c r="J140" s="384">
        <f t="shared" si="78"/>
        <v>0</v>
      </c>
      <c r="K140" s="384">
        <f t="shared" si="78"/>
        <v>0</v>
      </c>
      <c r="L140" s="384">
        <f t="shared" si="78"/>
        <v>0</v>
      </c>
      <c r="M140" s="384">
        <f t="shared" si="78"/>
        <v>-125.55314506277244</v>
      </c>
      <c r="N140" s="384">
        <f t="shared" si="78"/>
        <v>-5.9861855444961014</v>
      </c>
      <c r="O140" s="384">
        <f t="shared" si="78"/>
        <v>-5.2157907416230058</v>
      </c>
      <c r="P140" s="244">
        <f t="shared" ref="P140:P141" si="79">SUM(D140:O140)</f>
        <v>-222.80168896178941</v>
      </c>
    </row>
    <row r="141" spans="1:16">
      <c r="C141" s="383" t="s">
        <v>483</v>
      </c>
      <c r="D141" s="384">
        <f>IF(D112=0,0,-D105*$P$30*D44/1000)</f>
        <v>-5.857379848480246</v>
      </c>
      <c r="E141" s="384">
        <f t="shared" ref="E141:O141" si="80">IF(E112=0,0,-E105*$P$30*E44/1000)</f>
        <v>-6.8103255070268718</v>
      </c>
      <c r="F141" s="384">
        <f t="shared" si="80"/>
        <v>-25.720760749092076</v>
      </c>
      <c r="G141" s="384">
        <f t="shared" si="80"/>
        <v>-131.3727978715788</v>
      </c>
      <c r="H141" s="384">
        <f t="shared" si="80"/>
        <v>-507.56096871925075</v>
      </c>
      <c r="I141" s="384">
        <f t="shared" si="80"/>
        <v>0</v>
      </c>
      <c r="J141" s="384">
        <f t="shared" si="80"/>
        <v>0</v>
      </c>
      <c r="K141" s="384">
        <f t="shared" si="80"/>
        <v>0</v>
      </c>
      <c r="L141" s="384">
        <f t="shared" si="80"/>
        <v>0</v>
      </c>
      <c r="M141" s="384">
        <f t="shared" si="80"/>
        <v>-988.30132212157082</v>
      </c>
      <c r="N141" s="384">
        <f t="shared" si="80"/>
        <v>-47.120723938318307</v>
      </c>
      <c r="O141" s="384">
        <f t="shared" si="80"/>
        <v>-41.056501478144952</v>
      </c>
      <c r="P141" s="244">
        <f t="shared" si="79"/>
        <v>-1753.800780233463</v>
      </c>
    </row>
    <row r="142" spans="1:16">
      <c r="C142" s="249" t="s">
        <v>290</v>
      </c>
      <c r="D142" s="145">
        <f t="shared" ref="D142:O142" si="81">IF(D112=0,0,IF(D55&lt;0,D55*D105,0))</f>
        <v>0</v>
      </c>
      <c r="E142" s="145">
        <f t="shared" si="81"/>
        <v>0</v>
      </c>
      <c r="F142" s="145">
        <f t="shared" si="81"/>
        <v>0</v>
      </c>
      <c r="G142" s="145">
        <f t="shared" si="81"/>
        <v>0</v>
      </c>
      <c r="H142" s="145">
        <f t="shared" si="81"/>
        <v>0</v>
      </c>
      <c r="I142" s="145">
        <f t="shared" si="81"/>
        <v>0</v>
      </c>
      <c r="J142" s="145">
        <f t="shared" si="81"/>
        <v>0</v>
      </c>
      <c r="K142" s="145">
        <f t="shared" si="81"/>
        <v>0</v>
      </c>
      <c r="L142" s="145">
        <f t="shared" si="81"/>
        <v>0</v>
      </c>
      <c r="M142" s="145">
        <f t="shared" si="81"/>
        <v>0</v>
      </c>
      <c r="N142" s="145">
        <f t="shared" si="81"/>
        <v>0</v>
      </c>
      <c r="O142" s="145">
        <f t="shared" si="81"/>
        <v>0</v>
      </c>
    </row>
    <row r="143" spans="1:16" ht="15" thickBot="1">
      <c r="C143" s="136" t="s">
        <v>291</v>
      </c>
      <c r="D143" s="137">
        <f t="shared" ref="D143:O143" si="82">IF(D112=0,0,-D105*D58*D44/1000)</f>
        <v>-1.2927938320310954</v>
      </c>
      <c r="E143" s="137">
        <f t="shared" si="82"/>
        <v>-1.5031203434574516</v>
      </c>
      <c r="F143" s="137">
        <f t="shared" si="82"/>
        <v>-5.676879716141543</v>
      </c>
      <c r="G143" s="137">
        <f t="shared" si="82"/>
        <v>-28.995548722883495</v>
      </c>
      <c r="H143" s="137">
        <f t="shared" si="82"/>
        <v>-112.02478014298923</v>
      </c>
      <c r="I143" s="137">
        <f t="shared" si="82"/>
        <v>0</v>
      </c>
      <c r="J143" s="137">
        <f t="shared" si="82"/>
        <v>0</v>
      </c>
      <c r="K143" s="137">
        <f t="shared" si="82"/>
        <v>0</v>
      </c>
      <c r="L143" s="137">
        <f t="shared" si="82"/>
        <v>0</v>
      </c>
      <c r="M143" s="137">
        <f t="shared" si="82"/>
        <v>-218.12992950396537</v>
      </c>
      <c r="N143" s="137">
        <f t="shared" si="82"/>
        <v>-10.400107700733031</v>
      </c>
      <c r="O143" s="137">
        <f t="shared" si="82"/>
        <v>-9.0616612288671767</v>
      </c>
    </row>
    <row r="144" spans="1:16" ht="15.75" thickBot="1">
      <c r="C144" s="109" t="s">
        <v>33</v>
      </c>
      <c r="D144" s="139">
        <f>D132+SUM(D135:D139)+D142+D143</f>
        <v>34400.213223163526</v>
      </c>
      <c r="E144" s="139">
        <f t="shared" ref="E144:O144" si="83">E132+SUM(E135:E139)+E142+E143</f>
        <v>27719.268342109383</v>
      </c>
      <c r="F144" s="139">
        <f t="shared" si="83"/>
        <v>24006.584744292071</v>
      </c>
      <c r="G144" s="139">
        <f t="shared" si="83"/>
        <v>16168.889976038963</v>
      </c>
      <c r="H144" s="139">
        <f t="shared" si="83"/>
        <v>6032.0428268867245</v>
      </c>
      <c r="I144" s="139">
        <f t="shared" si="83"/>
        <v>0</v>
      </c>
      <c r="J144" s="139">
        <f t="shared" si="83"/>
        <v>0</v>
      </c>
      <c r="K144" s="139">
        <f t="shared" si="83"/>
        <v>0</v>
      </c>
      <c r="L144" s="139">
        <f t="shared" si="83"/>
        <v>0</v>
      </c>
      <c r="M144" s="139">
        <f t="shared" si="83"/>
        <v>6014.7189581263183</v>
      </c>
      <c r="N144" s="139">
        <f t="shared" si="83"/>
        <v>20357.740460038363</v>
      </c>
      <c r="O144" s="139">
        <f t="shared" si="83"/>
        <v>31544.620583122338</v>
      </c>
    </row>
    <row r="145" spans="3:16" ht="15" thickBot="1">
      <c r="C145" s="110" t="s">
        <v>229</v>
      </c>
      <c r="D145" s="140">
        <f>D144-D112</f>
        <v>0</v>
      </c>
      <c r="E145" s="140">
        <f t="shared" ref="E145:O145" si="84">E144-E112</f>
        <v>0</v>
      </c>
      <c r="F145" s="140">
        <f t="shared" si="84"/>
        <v>0</v>
      </c>
      <c r="G145" s="140">
        <f t="shared" si="84"/>
        <v>0</v>
      </c>
      <c r="H145" s="140">
        <f t="shared" si="84"/>
        <v>0</v>
      </c>
      <c r="I145" s="140">
        <f t="shared" si="84"/>
        <v>0</v>
      </c>
      <c r="J145" s="140">
        <f t="shared" si="84"/>
        <v>0</v>
      </c>
      <c r="K145" s="140">
        <f t="shared" si="84"/>
        <v>0</v>
      </c>
      <c r="L145" s="140">
        <f t="shared" si="84"/>
        <v>0</v>
      </c>
      <c r="M145" s="140">
        <f t="shared" si="84"/>
        <v>0</v>
      </c>
      <c r="N145" s="140">
        <f t="shared" si="84"/>
        <v>0</v>
      </c>
      <c r="O145" s="140">
        <f t="shared" si="84"/>
        <v>0</v>
      </c>
    </row>
    <row r="146" spans="3:16" ht="15.75" thickBot="1">
      <c r="C146" s="147" t="s">
        <v>914</v>
      </c>
      <c r="D146" s="111" t="s">
        <v>832</v>
      </c>
      <c r="E146" s="112" t="s">
        <v>842</v>
      </c>
      <c r="F146" s="112" t="s">
        <v>833</v>
      </c>
      <c r="G146" s="112" t="s">
        <v>834</v>
      </c>
      <c r="H146" s="112" t="s">
        <v>835</v>
      </c>
      <c r="I146" s="112" t="s">
        <v>836</v>
      </c>
      <c r="J146" s="112" t="s">
        <v>837</v>
      </c>
      <c r="K146" s="112" t="s">
        <v>838</v>
      </c>
      <c r="L146" s="112" t="s">
        <v>839</v>
      </c>
      <c r="M146" s="112" t="s">
        <v>840</v>
      </c>
      <c r="N146" s="112" t="s">
        <v>841</v>
      </c>
      <c r="O146" s="113" t="s">
        <v>843</v>
      </c>
    </row>
    <row r="147" spans="3:16">
      <c r="C147" s="131" t="s">
        <v>285</v>
      </c>
      <c r="D147" s="132">
        <f t="shared" ref="D147:O147" si="85">IF(D113=0,0,-D106*D56*D46/1000)</f>
        <v>0</v>
      </c>
      <c r="E147" s="132">
        <f t="shared" si="85"/>
        <v>0</v>
      </c>
      <c r="F147" s="132">
        <f t="shared" si="85"/>
        <v>0</v>
      </c>
      <c r="G147" s="132">
        <f t="shared" si="85"/>
        <v>0</v>
      </c>
      <c r="H147" s="132">
        <f t="shared" si="85"/>
        <v>-7427.0432399250794</v>
      </c>
      <c r="I147" s="132">
        <f t="shared" si="85"/>
        <v>-6473.4562717193521</v>
      </c>
      <c r="J147" s="132">
        <f t="shared" si="85"/>
        <v>-5205.642517949068</v>
      </c>
      <c r="K147" s="132">
        <f t="shared" si="85"/>
        <v>-4830.1639587367154</v>
      </c>
      <c r="L147" s="132">
        <f t="shared" si="85"/>
        <v>-4893.1548330829601</v>
      </c>
      <c r="M147" s="132">
        <f t="shared" si="85"/>
        <v>0</v>
      </c>
      <c r="N147" s="132">
        <f t="shared" si="85"/>
        <v>0</v>
      </c>
      <c r="O147" s="132">
        <f t="shared" si="85"/>
        <v>0</v>
      </c>
    </row>
    <row r="148" spans="3:16">
      <c r="C148" s="381" t="s">
        <v>349</v>
      </c>
      <c r="D148" s="382">
        <f>IF(D113=0,0,-D106*$P$29*D46/1000)</f>
        <v>0</v>
      </c>
      <c r="E148" s="382">
        <f t="shared" ref="E148:N148" si="86">IF(E113=0,0,-E106*$P$29*E46/1000)</f>
        <v>0</v>
      </c>
      <c r="F148" s="382">
        <f t="shared" si="86"/>
        <v>0</v>
      </c>
      <c r="G148" s="382">
        <f t="shared" si="86"/>
        <v>0</v>
      </c>
      <c r="H148" s="382">
        <f t="shared" si="86"/>
        <v>-837.17277684129442</v>
      </c>
      <c r="I148" s="382">
        <f t="shared" si="86"/>
        <v>-729.68490793526757</v>
      </c>
      <c r="J148" s="382">
        <f t="shared" si="86"/>
        <v>-586.77754541233708</v>
      </c>
      <c r="K148" s="382">
        <f t="shared" si="86"/>
        <v>-544.45378104128895</v>
      </c>
      <c r="L148" s="382">
        <f t="shared" si="86"/>
        <v>-551.55408239790791</v>
      </c>
      <c r="M148" s="382">
        <f t="shared" si="86"/>
        <v>0</v>
      </c>
      <c r="N148" s="382">
        <f t="shared" si="86"/>
        <v>0</v>
      </c>
      <c r="O148" s="382">
        <f>IF(O113=0,0,-O106*$P$29*O46/1000)</f>
        <v>0</v>
      </c>
      <c r="P148" s="244">
        <f t="shared" ref="P148:P149" si="87">SUM(D148:O148)</f>
        <v>-3249.6430936280958</v>
      </c>
    </row>
    <row r="149" spans="3:16">
      <c r="C149" s="381" t="s">
        <v>350</v>
      </c>
      <c r="D149" s="382">
        <f>IF(D113=0,0,-D106*$P$30*D46/1000)</f>
        <v>0</v>
      </c>
      <c r="E149" s="382">
        <f t="shared" ref="E149:N149" si="88">IF(E113=0,0,-E106*$P$30*E46/1000)</f>
        <v>0</v>
      </c>
      <c r="F149" s="382">
        <f t="shared" si="88"/>
        <v>0</v>
      </c>
      <c r="G149" s="382">
        <f t="shared" si="88"/>
        <v>0</v>
      </c>
      <c r="H149" s="382">
        <f t="shared" si="88"/>
        <v>-6589.8704630837847</v>
      </c>
      <c r="I149" s="382">
        <f t="shared" si="88"/>
        <v>-5743.7713637840852</v>
      </c>
      <c r="J149" s="382">
        <f t="shared" si="88"/>
        <v>-4618.8649725367322</v>
      </c>
      <c r="K149" s="382">
        <f t="shared" si="88"/>
        <v>-4285.7101776954269</v>
      </c>
      <c r="L149" s="382">
        <f t="shared" si="88"/>
        <v>-4341.6007506850528</v>
      </c>
      <c r="M149" s="382">
        <f t="shared" si="88"/>
        <v>0</v>
      </c>
      <c r="N149" s="382">
        <f t="shared" si="88"/>
        <v>0</v>
      </c>
      <c r="O149" s="382">
        <f>IF(O113=0,0,-O106*$P$30*O46/1000)</f>
        <v>0</v>
      </c>
      <c r="P149" s="244">
        <f t="shared" si="87"/>
        <v>-25579.817727785085</v>
      </c>
    </row>
    <row r="150" spans="3:16">
      <c r="C150" s="248" t="s">
        <v>286</v>
      </c>
      <c r="D150" s="132">
        <f t="shared" ref="D150:O150" si="89">IF(D113=0,0,IF(D57&lt;0,D57*D106,0))</f>
        <v>0</v>
      </c>
      <c r="E150" s="132">
        <f t="shared" si="89"/>
        <v>0</v>
      </c>
      <c r="F150" s="132">
        <f t="shared" si="89"/>
        <v>0</v>
      </c>
      <c r="G150" s="132">
        <f t="shared" si="89"/>
        <v>0</v>
      </c>
      <c r="H150" s="132">
        <f t="shared" si="89"/>
        <v>-943.83862155643749</v>
      </c>
      <c r="I150" s="132">
        <f t="shared" si="89"/>
        <v>-896.45249221035249</v>
      </c>
      <c r="J150" s="132">
        <f t="shared" si="89"/>
        <v>-1147.1140878487124</v>
      </c>
      <c r="K150" s="132">
        <f t="shared" si="89"/>
        <v>-1380.4978000766432</v>
      </c>
      <c r="L150" s="132">
        <f t="shared" si="89"/>
        <v>-1370.0346345769597</v>
      </c>
      <c r="M150" s="132">
        <f t="shared" si="89"/>
        <v>0</v>
      </c>
      <c r="N150" s="132">
        <f t="shared" si="89"/>
        <v>0</v>
      </c>
      <c r="O150" s="132">
        <f t="shared" si="89"/>
        <v>0</v>
      </c>
    </row>
    <row r="151" spans="3:16">
      <c r="C151" s="133" t="s">
        <v>287</v>
      </c>
      <c r="D151" s="134">
        <f t="shared" ref="D151:O151" si="90">IF(D113=0,0,-D106*D59*D46/1000)</f>
        <v>0</v>
      </c>
      <c r="E151" s="134">
        <f t="shared" si="90"/>
        <v>0</v>
      </c>
      <c r="F151" s="134">
        <f t="shared" si="90"/>
        <v>0</v>
      </c>
      <c r="G151" s="134">
        <f t="shared" si="90"/>
        <v>0</v>
      </c>
      <c r="H151" s="134">
        <f t="shared" si="90"/>
        <v>-8726.7796614922045</v>
      </c>
      <c r="I151" s="134">
        <f t="shared" si="90"/>
        <v>-7606.3144789459266</v>
      </c>
      <c r="J151" s="134">
        <f t="shared" si="90"/>
        <v>-6116.632660279929</v>
      </c>
      <c r="K151" s="134">
        <f t="shared" si="90"/>
        <v>-5675.4451583348318</v>
      </c>
      <c r="L151" s="134">
        <f t="shared" si="90"/>
        <v>-5749.4594683834648</v>
      </c>
      <c r="M151" s="134">
        <f t="shared" si="90"/>
        <v>0</v>
      </c>
      <c r="N151" s="134">
        <f t="shared" si="90"/>
        <v>0</v>
      </c>
      <c r="O151" s="134">
        <f t="shared" si="90"/>
        <v>0</v>
      </c>
    </row>
    <row r="152" spans="3:16">
      <c r="C152" s="133" t="s">
        <v>288</v>
      </c>
      <c r="D152" s="134">
        <f>IF(D113=0,0,D96)</f>
        <v>0</v>
      </c>
      <c r="E152" s="134">
        <f t="shared" ref="E152:O152" si="91">IF(E113=0,0,E96)</f>
        <v>0</v>
      </c>
      <c r="F152" s="134">
        <f t="shared" si="91"/>
        <v>0</v>
      </c>
      <c r="G152" s="134">
        <f t="shared" si="91"/>
        <v>0</v>
      </c>
      <c r="H152" s="134">
        <f t="shared" si="91"/>
        <v>20969.943080341985</v>
      </c>
      <c r="I152" s="134">
        <f t="shared" si="91"/>
        <v>21862.369274728164</v>
      </c>
      <c r="J152" s="134">
        <f t="shared" si="91"/>
        <v>23738.751185642221</v>
      </c>
      <c r="K152" s="134">
        <f t="shared" si="91"/>
        <v>20803.972873080587</v>
      </c>
      <c r="L152" s="134">
        <f t="shared" si="91"/>
        <v>15770.481003436786</v>
      </c>
      <c r="M152" s="134">
        <f t="shared" si="91"/>
        <v>0</v>
      </c>
      <c r="N152" s="134">
        <f t="shared" si="91"/>
        <v>0</v>
      </c>
      <c r="O152" s="134">
        <f t="shared" si="91"/>
        <v>0</v>
      </c>
    </row>
    <row r="153" spans="3:16">
      <c r="C153" s="133" t="s">
        <v>284</v>
      </c>
      <c r="D153" s="134">
        <f>IF(D113=0,0,D80)</f>
        <v>0</v>
      </c>
      <c r="E153" s="134">
        <f t="shared" ref="E153:O153" si="92">IF(E113=0,0,E80)</f>
        <v>0</v>
      </c>
      <c r="F153" s="134">
        <f t="shared" si="92"/>
        <v>0</v>
      </c>
      <c r="G153" s="134">
        <f t="shared" si="92"/>
        <v>0</v>
      </c>
      <c r="H153" s="134">
        <f t="shared" si="92"/>
        <v>2354.7600000000002</v>
      </c>
      <c r="I153" s="134">
        <f t="shared" si="92"/>
        <v>2278.8000000000002</v>
      </c>
      <c r="J153" s="134">
        <f t="shared" si="92"/>
        <v>2354.7600000000002</v>
      </c>
      <c r="K153" s="134">
        <f t="shared" si="92"/>
        <v>2354.7600000000002</v>
      </c>
      <c r="L153" s="134">
        <f t="shared" si="92"/>
        <v>2278.8000000000002</v>
      </c>
      <c r="M153" s="134">
        <f t="shared" si="92"/>
        <v>0</v>
      </c>
      <c r="N153" s="134">
        <f t="shared" si="92"/>
        <v>0</v>
      </c>
      <c r="O153" s="134">
        <f t="shared" si="92"/>
        <v>0</v>
      </c>
    </row>
    <row r="154" spans="3:16">
      <c r="C154" s="133" t="s">
        <v>289</v>
      </c>
      <c r="D154" s="134">
        <f t="shared" ref="D154:O154" si="93">IF(D113=0,0,D56*D45/1000)</f>
        <v>0</v>
      </c>
      <c r="E154" s="134">
        <f t="shared" si="93"/>
        <v>0</v>
      </c>
      <c r="F154" s="134">
        <f t="shared" si="93"/>
        <v>0</v>
      </c>
      <c r="G154" s="134">
        <f t="shared" si="93"/>
        <v>0</v>
      </c>
      <c r="H154" s="134">
        <f t="shared" si="93"/>
        <v>0</v>
      </c>
      <c r="I154" s="134">
        <f t="shared" si="93"/>
        <v>83.825863400000003</v>
      </c>
      <c r="J154" s="134">
        <f t="shared" si="93"/>
        <v>934.69546800000001</v>
      </c>
      <c r="K154" s="134">
        <f t="shared" si="93"/>
        <v>1116.4418090000006</v>
      </c>
      <c r="L154" s="134">
        <f t="shared" si="93"/>
        <v>501.47153680000008</v>
      </c>
      <c r="M154" s="134">
        <f t="shared" si="93"/>
        <v>0</v>
      </c>
      <c r="N154" s="134">
        <f t="shared" si="93"/>
        <v>0</v>
      </c>
      <c r="O154" s="134">
        <f t="shared" si="93"/>
        <v>0</v>
      </c>
    </row>
    <row r="155" spans="3:16">
      <c r="C155" s="383" t="s">
        <v>351</v>
      </c>
      <c r="D155" s="384">
        <f>IF(D113=0,0,$P$29*D45/1000)</f>
        <v>0</v>
      </c>
      <c r="E155" s="384">
        <f t="shared" ref="E155:N155" si="94">IF(E113=0,0,$P$29*E45/1000)</f>
        <v>0</v>
      </c>
      <c r="F155" s="384">
        <f t="shared" si="94"/>
        <v>0</v>
      </c>
      <c r="G155" s="384">
        <f t="shared" si="94"/>
        <v>0</v>
      </c>
      <c r="H155" s="384">
        <f t="shared" si="94"/>
        <v>0</v>
      </c>
      <c r="I155" s="384">
        <f t="shared" si="94"/>
        <v>9.4488114000000003</v>
      </c>
      <c r="J155" s="384">
        <f t="shared" si="94"/>
        <v>105.358428</v>
      </c>
      <c r="K155" s="384">
        <f t="shared" si="94"/>
        <v>125.84478900000008</v>
      </c>
      <c r="L155" s="384">
        <f t="shared" si="94"/>
        <v>56.525632800000004</v>
      </c>
      <c r="M155" s="384">
        <f t="shared" si="94"/>
        <v>0</v>
      </c>
      <c r="N155" s="384">
        <f t="shared" si="94"/>
        <v>0</v>
      </c>
      <c r="O155" s="384">
        <f>IF(O113=0,0,$P$29*O45/1000)</f>
        <v>0</v>
      </c>
      <c r="P155" s="244">
        <f t="shared" ref="P155:P156" si="95">SUM(D155:O155)</f>
        <v>297.17766120000005</v>
      </c>
    </row>
    <row r="156" spans="3:16">
      <c r="C156" s="383" t="s">
        <v>483</v>
      </c>
      <c r="D156" s="384">
        <f>IF(D113=0,0,$P$30*D45/1000)</f>
        <v>0</v>
      </c>
      <c r="E156" s="384">
        <f t="shared" ref="E156:N156" si="96">IF(E113=0,0,$P$30*E45/1000)</f>
        <v>0</v>
      </c>
      <c r="F156" s="384">
        <f t="shared" si="96"/>
        <v>0</v>
      </c>
      <c r="G156" s="384">
        <f t="shared" si="96"/>
        <v>0</v>
      </c>
      <c r="H156" s="384">
        <f t="shared" si="96"/>
        <v>0</v>
      </c>
      <c r="I156" s="384">
        <f t="shared" si="96"/>
        <v>74.377052000000006</v>
      </c>
      <c r="J156" s="384">
        <f t="shared" si="96"/>
        <v>829.33704000000012</v>
      </c>
      <c r="K156" s="384">
        <f t="shared" si="96"/>
        <v>990.59702000000073</v>
      </c>
      <c r="L156" s="384">
        <f t="shared" si="96"/>
        <v>444.9459040000001</v>
      </c>
      <c r="M156" s="384">
        <f t="shared" si="96"/>
        <v>0</v>
      </c>
      <c r="N156" s="384">
        <f t="shared" si="96"/>
        <v>0</v>
      </c>
      <c r="O156" s="384">
        <f>IF(O113=0,0,$P$30*O45/1000)</f>
        <v>0</v>
      </c>
      <c r="P156" s="244">
        <f t="shared" si="95"/>
        <v>2339.2570160000009</v>
      </c>
    </row>
    <row r="157" spans="3:16">
      <c r="C157" s="249" t="s">
        <v>290</v>
      </c>
      <c r="D157" s="145">
        <f t="shared" ref="D157:O157" si="97">IF(D113=0,0,IF(D57&lt;0,0,D57))</f>
        <v>0</v>
      </c>
      <c r="E157" s="145">
        <f t="shared" si="97"/>
        <v>0</v>
      </c>
      <c r="F157" s="145">
        <f t="shared" si="97"/>
        <v>0</v>
      </c>
      <c r="G157" s="145">
        <f t="shared" si="97"/>
        <v>0</v>
      </c>
      <c r="H157" s="145">
        <f t="shared" si="97"/>
        <v>0</v>
      </c>
      <c r="I157" s="145">
        <f t="shared" si="97"/>
        <v>0</v>
      </c>
      <c r="J157" s="145">
        <f t="shared" si="97"/>
        <v>0</v>
      </c>
      <c r="K157" s="145">
        <f t="shared" si="97"/>
        <v>0</v>
      </c>
      <c r="L157" s="145">
        <f t="shared" si="97"/>
        <v>0</v>
      </c>
      <c r="M157" s="145">
        <f t="shared" si="97"/>
        <v>0</v>
      </c>
      <c r="N157" s="145">
        <f t="shared" si="97"/>
        <v>0</v>
      </c>
      <c r="O157" s="145">
        <f t="shared" si="97"/>
        <v>0</v>
      </c>
    </row>
    <row r="158" spans="3:16" ht="15" thickBot="1">
      <c r="C158" s="136" t="s">
        <v>291</v>
      </c>
      <c r="D158" s="145">
        <f t="shared" ref="D158:O158" si="98">IF(D113=0,0,D58*D45/1000)</f>
        <v>0</v>
      </c>
      <c r="E158" s="145">
        <f t="shared" si="98"/>
        <v>0</v>
      </c>
      <c r="F158" s="145">
        <f t="shared" si="98"/>
        <v>0</v>
      </c>
      <c r="G158" s="145">
        <f t="shared" si="98"/>
        <v>0</v>
      </c>
      <c r="H158" s="145">
        <f t="shared" si="98"/>
        <v>0</v>
      </c>
      <c r="I158" s="145">
        <f t="shared" si="98"/>
        <v>16.415905500000004</v>
      </c>
      <c r="J158" s="145">
        <f t="shared" si="98"/>
        <v>183.04461000000003</v>
      </c>
      <c r="K158" s="145">
        <f t="shared" si="98"/>
        <v>218.63661750000017</v>
      </c>
      <c r="L158" s="145">
        <f t="shared" si="98"/>
        <v>98.204886000000045</v>
      </c>
      <c r="M158" s="145">
        <f t="shared" si="98"/>
        <v>0</v>
      </c>
      <c r="N158" s="145">
        <f t="shared" si="98"/>
        <v>0</v>
      </c>
      <c r="O158" s="145">
        <f t="shared" si="98"/>
        <v>0</v>
      </c>
    </row>
    <row r="159" spans="3:16" ht="15.75" thickBot="1">
      <c r="C159" s="222" t="s">
        <v>33</v>
      </c>
      <c r="D159" s="141">
        <f>D147+SUM(D150:D154)+D157+D158</f>
        <v>0</v>
      </c>
      <c r="E159" s="141">
        <f t="shared" ref="E159:O159" si="99">E147+SUM(E150:E154)+E157+E158</f>
        <v>0</v>
      </c>
      <c r="F159" s="141">
        <f t="shared" si="99"/>
        <v>0</v>
      </c>
      <c r="G159" s="141">
        <f t="shared" si="99"/>
        <v>0</v>
      </c>
      <c r="H159" s="141">
        <f t="shared" si="99"/>
        <v>6227.0415573682649</v>
      </c>
      <c r="I159" s="141">
        <f t="shared" si="99"/>
        <v>9265.187800752532</v>
      </c>
      <c r="J159" s="141">
        <f t="shared" si="99"/>
        <v>14741.861997564512</v>
      </c>
      <c r="K159" s="141">
        <f t="shared" si="99"/>
        <v>12607.704382432397</v>
      </c>
      <c r="L159" s="141">
        <f t="shared" si="99"/>
        <v>6636.3084901933998</v>
      </c>
      <c r="M159" s="141">
        <f t="shared" si="99"/>
        <v>0</v>
      </c>
      <c r="N159" s="141">
        <f t="shared" si="99"/>
        <v>0</v>
      </c>
      <c r="O159" s="141">
        <f t="shared" si="99"/>
        <v>0</v>
      </c>
    </row>
    <row r="160" spans="3:16">
      <c r="C160" s="110" t="s">
        <v>229</v>
      </c>
      <c r="D160" s="244">
        <f>D159-D113</f>
        <v>0</v>
      </c>
      <c r="E160" s="244">
        <f t="shared" ref="E160:O160" si="100">E159-E113</f>
        <v>0</v>
      </c>
      <c r="F160" s="244">
        <f t="shared" si="100"/>
        <v>0</v>
      </c>
      <c r="G160" s="244">
        <f t="shared" si="100"/>
        <v>0</v>
      </c>
      <c r="H160" s="244">
        <f t="shared" si="100"/>
        <v>0</v>
      </c>
      <c r="I160" s="244">
        <f t="shared" si="100"/>
        <v>0</v>
      </c>
      <c r="J160" s="244">
        <f t="shared" si="100"/>
        <v>0</v>
      </c>
      <c r="K160" s="244">
        <f t="shared" si="100"/>
        <v>0</v>
      </c>
      <c r="L160" s="244">
        <f t="shared" si="100"/>
        <v>0</v>
      </c>
      <c r="M160" s="244">
        <f t="shared" si="100"/>
        <v>0</v>
      </c>
      <c r="N160" s="244">
        <f t="shared" si="100"/>
        <v>0</v>
      </c>
      <c r="O160" s="244">
        <f t="shared" si="100"/>
        <v>0</v>
      </c>
    </row>
    <row r="161" spans="3:16" ht="15" thickBot="1"/>
    <row r="162" spans="3:16" ht="15.75" thickBot="1">
      <c r="C162" s="147" t="s">
        <v>353</v>
      </c>
      <c r="D162" s="111" t="s">
        <v>832</v>
      </c>
      <c r="E162" s="112" t="s">
        <v>842</v>
      </c>
      <c r="F162" s="112" t="s">
        <v>833</v>
      </c>
      <c r="G162" s="112" t="s">
        <v>834</v>
      </c>
      <c r="H162" s="112" t="s">
        <v>835</v>
      </c>
      <c r="I162" s="112" t="s">
        <v>836</v>
      </c>
      <c r="J162" s="112" t="s">
        <v>837</v>
      </c>
      <c r="K162" s="112" t="s">
        <v>838</v>
      </c>
      <c r="L162" s="112" t="s">
        <v>839</v>
      </c>
      <c r="M162" s="112" t="s">
        <v>840</v>
      </c>
      <c r="N162" s="112" t="s">
        <v>841</v>
      </c>
      <c r="O162" s="113" t="s">
        <v>843</v>
      </c>
      <c r="P162" s="110" t="s">
        <v>33</v>
      </c>
    </row>
    <row r="163" spans="3:16">
      <c r="C163" s="142" t="s">
        <v>285</v>
      </c>
      <c r="D163" s="209">
        <f>D132/$D$3</f>
        <v>17.78637886723541</v>
      </c>
      <c r="E163" s="209">
        <f t="shared" ref="E163:O163" si="101">E132/$D$3</f>
        <v>14.891750358546602</v>
      </c>
      <c r="F163" s="209">
        <f t="shared" si="101"/>
        <v>13.881091400695093</v>
      </c>
      <c r="G163" s="209">
        <f t="shared" si="101"/>
        <v>10.501524723222763</v>
      </c>
      <c r="H163" s="209">
        <f t="shared" si="101"/>
        <v>5.9987953078041025</v>
      </c>
      <c r="I163" s="209">
        <f t="shared" si="101"/>
        <v>0</v>
      </c>
      <c r="J163" s="209">
        <f t="shared" si="101"/>
        <v>0</v>
      </c>
      <c r="K163" s="209">
        <f t="shared" si="101"/>
        <v>0</v>
      </c>
      <c r="L163" s="209">
        <f t="shared" si="101"/>
        <v>0</v>
      </c>
      <c r="M163" s="209">
        <f t="shared" si="101"/>
        <v>4.5786694669826229</v>
      </c>
      <c r="N163" s="209">
        <f t="shared" si="101"/>
        <v>11.049511885434439</v>
      </c>
      <c r="O163" s="209">
        <f t="shared" si="101"/>
        <v>16.348908693649289</v>
      </c>
    </row>
    <row r="164" spans="3:16">
      <c r="C164" s="385" t="s">
        <v>349</v>
      </c>
      <c r="D164" s="388">
        <f t="shared" ref="D164:O164" si="102">D133/$D$3</f>
        <v>2.0048721550710922</v>
      </c>
      <c r="E164" s="388">
        <f t="shared" si="102"/>
        <v>1.6785910081516586</v>
      </c>
      <c r="F164" s="388">
        <f t="shared" si="102"/>
        <v>1.5646700117535532</v>
      </c>
      <c r="G164" s="388">
        <f t="shared" si="102"/>
        <v>1.1837268654028452</v>
      </c>
      <c r="H164" s="388">
        <f t="shared" si="102"/>
        <v>0.67618135014217962</v>
      </c>
      <c r="I164" s="388">
        <f t="shared" si="102"/>
        <v>0</v>
      </c>
      <c r="J164" s="388">
        <f t="shared" si="102"/>
        <v>0</v>
      </c>
      <c r="K164" s="388">
        <f t="shared" si="102"/>
        <v>0</v>
      </c>
      <c r="L164" s="388">
        <f t="shared" si="102"/>
        <v>0</v>
      </c>
      <c r="M164" s="388">
        <f t="shared" si="102"/>
        <v>0.51610544170616124</v>
      </c>
      <c r="N164" s="388">
        <f t="shared" si="102"/>
        <v>1.2454957173459715</v>
      </c>
      <c r="O164" s="388">
        <f t="shared" si="102"/>
        <v>1.8428412017061608</v>
      </c>
      <c r="P164" s="704">
        <f t="shared" ref="P164:P165" si="103">SUM(D164:O164)</f>
        <v>10.712483751279622</v>
      </c>
    </row>
    <row r="165" spans="3:16">
      <c r="C165" s="385" t="s">
        <v>350</v>
      </c>
      <c r="D165" s="388">
        <f t="shared" ref="D165:O165" si="104">D134/$D$3</f>
        <v>15.781506712164317</v>
      </c>
      <c r="E165" s="388">
        <f t="shared" si="104"/>
        <v>13.213159350394946</v>
      </c>
      <c r="F165" s="388">
        <f t="shared" si="104"/>
        <v>12.316421388941539</v>
      </c>
      <c r="G165" s="388">
        <f t="shared" si="104"/>
        <v>9.3177978578199205</v>
      </c>
      <c r="H165" s="388">
        <f t="shared" si="104"/>
        <v>5.3226139576619245</v>
      </c>
      <c r="I165" s="388">
        <f t="shared" si="104"/>
        <v>0</v>
      </c>
      <c r="J165" s="388">
        <f t="shared" si="104"/>
        <v>0</v>
      </c>
      <c r="K165" s="388">
        <f t="shared" si="104"/>
        <v>0</v>
      </c>
      <c r="L165" s="388">
        <f t="shared" si="104"/>
        <v>0</v>
      </c>
      <c r="M165" s="388">
        <f t="shared" si="104"/>
        <v>4.0625640252764619</v>
      </c>
      <c r="N165" s="388">
        <f t="shared" si="104"/>
        <v>9.8040161680884701</v>
      </c>
      <c r="O165" s="388">
        <f t="shared" si="104"/>
        <v>14.50606749194313</v>
      </c>
      <c r="P165" s="704">
        <f t="shared" si="103"/>
        <v>84.32414695229069</v>
      </c>
    </row>
    <row r="166" spans="3:16">
      <c r="C166" s="386" t="s">
        <v>286</v>
      </c>
      <c r="D166" s="209">
        <f t="shared" ref="D166:O166" si="105">D135/$D$3</f>
        <v>3.1720022748815171</v>
      </c>
      <c r="E166" s="209">
        <f t="shared" si="105"/>
        <v>2.5207749763033176</v>
      </c>
      <c r="F166" s="209">
        <f t="shared" si="105"/>
        <v>2.050619146919431</v>
      </c>
      <c r="G166" s="209">
        <f t="shared" si="105"/>
        <v>1.3046900473933647</v>
      </c>
      <c r="H166" s="209">
        <f t="shared" si="105"/>
        <v>2.2049668246445588E-2</v>
      </c>
      <c r="I166" s="209">
        <f t="shared" si="105"/>
        <v>0</v>
      </c>
      <c r="J166" s="209">
        <f t="shared" si="105"/>
        <v>0</v>
      </c>
      <c r="K166" s="209">
        <f t="shared" si="105"/>
        <v>0</v>
      </c>
      <c r="L166" s="209">
        <f t="shared" si="105"/>
        <v>0</v>
      </c>
      <c r="M166" s="209">
        <f t="shared" si="105"/>
        <v>1.3229800947867296</v>
      </c>
      <c r="N166" s="209">
        <f t="shared" si="105"/>
        <v>2.2527241706161143</v>
      </c>
      <c r="O166" s="209">
        <f t="shared" si="105"/>
        <v>2.9924549763033177</v>
      </c>
    </row>
    <row r="167" spans="3:16">
      <c r="C167" s="143" t="s">
        <v>287</v>
      </c>
      <c r="D167" s="209">
        <f t="shared" ref="D167:O167" si="106">D136/$D$3</f>
        <v>3.483167400000005</v>
      </c>
      <c r="E167" s="209">
        <f t="shared" si="106"/>
        <v>2.9163024000000006</v>
      </c>
      <c r="F167" s="209">
        <f t="shared" si="106"/>
        <v>2.7183815999999981</v>
      </c>
      <c r="G167" s="209">
        <f t="shared" si="106"/>
        <v>2.0565495000000031</v>
      </c>
      <c r="H167" s="209">
        <f t="shared" si="106"/>
        <v>1.1747645999999996</v>
      </c>
      <c r="I167" s="209">
        <f t="shared" si="106"/>
        <v>0</v>
      </c>
      <c r="J167" s="209">
        <f t="shared" si="106"/>
        <v>0</v>
      </c>
      <c r="K167" s="209">
        <f t="shared" si="106"/>
        <v>0</v>
      </c>
      <c r="L167" s="209">
        <f t="shared" si="106"/>
        <v>0</v>
      </c>
      <c r="M167" s="209">
        <f t="shared" si="106"/>
        <v>0.8966565000000003</v>
      </c>
      <c r="N167" s="209">
        <f t="shared" si="106"/>
        <v>2.1638637000000007</v>
      </c>
      <c r="O167" s="209">
        <f t="shared" si="106"/>
        <v>3.2016627</v>
      </c>
    </row>
    <row r="168" spans="3:16">
      <c r="C168" s="143" t="s">
        <v>288</v>
      </c>
      <c r="D168" s="209">
        <f t="shared" ref="D168:O168" si="107">D137/$D$3</f>
        <v>-1.3744923203201322</v>
      </c>
      <c r="E168" s="209">
        <f t="shared" si="107"/>
        <v>-1.6480572567094447</v>
      </c>
      <c r="F168" s="209">
        <f t="shared" si="107"/>
        <v>-2.2467562669178989</v>
      </c>
      <c r="G168" s="209">
        <f t="shared" si="107"/>
        <v>-2.4710438852341419</v>
      </c>
      <c r="H168" s="209">
        <f t="shared" si="107"/>
        <v>-2.1619177466087285</v>
      </c>
      <c r="I168" s="209">
        <f t="shared" si="107"/>
        <v>0</v>
      </c>
      <c r="J168" s="209">
        <f t="shared" si="107"/>
        <v>0</v>
      </c>
      <c r="K168" s="209">
        <f t="shared" si="107"/>
        <v>0</v>
      </c>
      <c r="L168" s="209">
        <f t="shared" si="107"/>
        <v>0</v>
      </c>
      <c r="M168" s="209">
        <f t="shared" si="107"/>
        <v>-1.3224750250699282</v>
      </c>
      <c r="N168" s="209">
        <f t="shared" si="107"/>
        <v>-1.3629642450743358</v>
      </c>
      <c r="O168" s="209">
        <f t="shared" si="107"/>
        <v>-1.2581071054127173</v>
      </c>
    </row>
    <row r="169" spans="3:16">
      <c r="C169" s="143" t="s">
        <v>284</v>
      </c>
      <c r="D169" s="209">
        <f t="shared" ref="D169:O169" si="108">D138/$D$3</f>
        <v>-1.3241762758261277</v>
      </c>
      <c r="E169" s="209">
        <f t="shared" si="108"/>
        <v>-1.1588450644283688</v>
      </c>
      <c r="F169" s="209">
        <f t="shared" si="108"/>
        <v>-1.2113927949721586</v>
      </c>
      <c r="G169" s="209">
        <f t="shared" si="108"/>
        <v>-1.0625274401556881</v>
      </c>
      <c r="H169" s="209">
        <f t="shared" si="108"/>
        <v>-0.7897052355214913</v>
      </c>
      <c r="I169" s="209">
        <f t="shared" si="108"/>
        <v>0</v>
      </c>
      <c r="J169" s="209">
        <f t="shared" si="108"/>
        <v>0</v>
      </c>
      <c r="K169" s="209">
        <f t="shared" si="108"/>
        <v>0</v>
      </c>
      <c r="L169" s="209">
        <f t="shared" si="108"/>
        <v>0</v>
      </c>
      <c r="M169" s="209">
        <f t="shared" si="108"/>
        <v>-0.8333644617770698</v>
      </c>
      <c r="N169" s="209">
        <f t="shared" si="108"/>
        <v>-1.1987137244220882</v>
      </c>
      <c r="O169" s="209">
        <f t="shared" si="108"/>
        <v>-1.3165435700242643</v>
      </c>
    </row>
    <row r="170" spans="3:16">
      <c r="C170" s="143" t="s">
        <v>289</v>
      </c>
      <c r="D170" s="209">
        <f t="shared" ref="D170:O170" si="109">D139/$D$3</f>
        <v>-4.1715624031775393E-3</v>
      </c>
      <c r="E170" s="209">
        <f t="shared" si="109"/>
        <v>-4.8502399662343036E-3</v>
      </c>
      <c r="F170" s="209">
        <f t="shared" si="109"/>
        <v>-1.831804685671461E-2</v>
      </c>
      <c r="G170" s="209">
        <f t="shared" si="109"/>
        <v>-9.3562281869684821E-2</v>
      </c>
      <c r="H170" s="209">
        <f t="shared" si="109"/>
        <v>-0.36147941728227811</v>
      </c>
      <c r="I170" s="209">
        <f t="shared" si="109"/>
        <v>0</v>
      </c>
      <c r="J170" s="209">
        <f t="shared" si="109"/>
        <v>0</v>
      </c>
      <c r="K170" s="209">
        <f t="shared" si="109"/>
        <v>0</v>
      </c>
      <c r="L170" s="209">
        <f t="shared" si="109"/>
        <v>0</v>
      </c>
      <c r="M170" s="209">
        <f t="shared" si="109"/>
        <v>-0.70385748321285502</v>
      </c>
      <c r="N170" s="209">
        <f t="shared" si="109"/>
        <v>-3.3558868551541485E-2</v>
      </c>
      <c r="O170" s="209">
        <f t="shared" si="109"/>
        <v>-2.9239995083581643E-2</v>
      </c>
    </row>
    <row r="171" spans="3:16">
      <c r="C171" s="387" t="s">
        <v>351</v>
      </c>
      <c r="D171" s="388">
        <f t="shared" ref="D171:O171" si="110">D140/$D$3</f>
        <v>-4.7021652736063956E-4</v>
      </c>
      <c r="E171" s="388">
        <f t="shared" si="110"/>
        <v>-5.4671673904512744E-4</v>
      </c>
      <c r="F171" s="388">
        <f t="shared" si="110"/>
        <v>-2.0648015176358944E-3</v>
      </c>
      <c r="G171" s="388">
        <f t="shared" si="110"/>
        <v>-1.0546295852889376E-2</v>
      </c>
      <c r="H171" s="388">
        <f t="shared" si="110"/>
        <v>-4.0745787759844859E-2</v>
      </c>
      <c r="I171" s="388">
        <f t="shared" si="110"/>
        <v>0</v>
      </c>
      <c r="J171" s="388">
        <f t="shared" si="110"/>
        <v>0</v>
      </c>
      <c r="K171" s="388">
        <f t="shared" si="110"/>
        <v>0</v>
      </c>
      <c r="L171" s="388">
        <f t="shared" si="110"/>
        <v>0</v>
      </c>
      <c r="M171" s="388">
        <f t="shared" si="110"/>
        <v>-7.9338480292431249E-2</v>
      </c>
      <c r="N171" s="388">
        <f t="shared" si="110"/>
        <v>-3.7827396805662568E-3</v>
      </c>
      <c r="O171" s="388">
        <f t="shared" si="110"/>
        <v>-3.29591832014092E-3</v>
      </c>
      <c r="P171" s="704">
        <f t="shared" ref="P171:P172" si="111">SUM(D171:O171)</f>
        <v>-0.14079095668991432</v>
      </c>
    </row>
    <row r="172" spans="3:16">
      <c r="C172" s="387" t="s">
        <v>483</v>
      </c>
      <c r="D172" s="388">
        <f t="shared" ref="D172:O172" si="112">D141/$D$3</f>
        <v>-3.7013458758169012E-3</v>
      </c>
      <c r="E172" s="388">
        <f t="shared" si="112"/>
        <v>-4.3035232271891764E-3</v>
      </c>
      <c r="F172" s="388">
        <f t="shared" si="112"/>
        <v>-1.6253245339078719E-2</v>
      </c>
      <c r="G172" s="388">
        <f t="shared" si="112"/>
        <v>-8.3015986016795454E-2</v>
      </c>
      <c r="H172" s="388">
        <f t="shared" si="112"/>
        <v>-0.32073362952243334</v>
      </c>
      <c r="I172" s="388">
        <f t="shared" si="112"/>
        <v>0</v>
      </c>
      <c r="J172" s="388">
        <f t="shared" si="112"/>
        <v>0</v>
      </c>
      <c r="K172" s="388">
        <f t="shared" si="112"/>
        <v>0</v>
      </c>
      <c r="L172" s="388">
        <f t="shared" si="112"/>
        <v>0</v>
      </c>
      <c r="M172" s="388">
        <f t="shared" si="112"/>
        <v>-0.62451900292042395</v>
      </c>
      <c r="N172" s="388">
        <f t="shared" si="112"/>
        <v>-2.9776128870975232E-2</v>
      </c>
      <c r="O172" s="388">
        <f t="shared" si="112"/>
        <v>-2.5944076763440727E-2</v>
      </c>
      <c r="P172" s="704">
        <f t="shared" si="111"/>
        <v>-1.1082469385361535</v>
      </c>
    </row>
    <row r="173" spans="3:16">
      <c r="C173" s="144" t="s">
        <v>290</v>
      </c>
      <c r="D173" s="209">
        <f t="shared" ref="D173:O173" si="113">D142/$D$3</f>
        <v>0</v>
      </c>
      <c r="E173" s="209">
        <f t="shared" si="113"/>
        <v>0</v>
      </c>
      <c r="F173" s="209">
        <f t="shared" si="113"/>
        <v>0</v>
      </c>
      <c r="G173" s="209">
        <f t="shared" si="113"/>
        <v>0</v>
      </c>
      <c r="H173" s="209">
        <f t="shared" si="113"/>
        <v>0</v>
      </c>
      <c r="I173" s="209">
        <f t="shared" si="113"/>
        <v>0</v>
      </c>
      <c r="J173" s="209">
        <f t="shared" si="113"/>
        <v>0</v>
      </c>
      <c r="K173" s="209">
        <f t="shared" si="113"/>
        <v>0</v>
      </c>
      <c r="L173" s="209">
        <f t="shared" si="113"/>
        <v>0</v>
      </c>
      <c r="M173" s="209">
        <f t="shared" si="113"/>
        <v>0</v>
      </c>
      <c r="N173" s="209">
        <f t="shared" si="113"/>
        <v>0</v>
      </c>
      <c r="O173" s="209">
        <f t="shared" si="113"/>
        <v>0</v>
      </c>
    </row>
    <row r="174" spans="3:16" ht="15" thickBot="1">
      <c r="C174" s="214" t="s">
        <v>291</v>
      </c>
      <c r="D174" s="209">
        <f t="shared" ref="D174:O174" si="114">D143/$D$3</f>
        <v>-8.1693133145724827E-4</v>
      </c>
      <c r="E174" s="209">
        <f t="shared" si="114"/>
        <v>-9.4983907959396625E-4</v>
      </c>
      <c r="F174" s="209">
        <f t="shared" si="114"/>
        <v>-3.5872857605949719E-3</v>
      </c>
      <c r="G174" s="209">
        <f t="shared" si="114"/>
        <v>-1.8322621625834753E-2</v>
      </c>
      <c r="H174" s="209">
        <f t="shared" si="114"/>
        <v>-7.0789750485301256E-2</v>
      </c>
      <c r="I174" s="209">
        <f t="shared" si="114"/>
        <v>0</v>
      </c>
      <c r="J174" s="209">
        <f t="shared" si="114"/>
        <v>0</v>
      </c>
      <c r="K174" s="209">
        <f t="shared" si="114"/>
        <v>0</v>
      </c>
      <c r="L174" s="209">
        <f t="shared" si="114"/>
        <v>0</v>
      </c>
      <c r="M174" s="209">
        <f t="shared" si="114"/>
        <v>-0.13783881801198444</v>
      </c>
      <c r="N174" s="209">
        <f t="shared" si="114"/>
        <v>-6.571947994144095E-3</v>
      </c>
      <c r="O174" s="209">
        <f t="shared" si="114"/>
        <v>-5.7261682330914231E-3</v>
      </c>
    </row>
    <row r="175" spans="3:16" ht="15.75" hidden="1" thickBot="1">
      <c r="C175" s="222" t="s">
        <v>33</v>
      </c>
      <c r="D175" s="209">
        <f t="shared" ref="D175:O175" si="115">D144/$D$3</f>
        <v>21.737891452236035</v>
      </c>
      <c r="E175" s="209">
        <f t="shared" si="115"/>
        <v>17.516125334666278</v>
      </c>
      <c r="F175" s="209">
        <f t="shared" si="115"/>
        <v>15.170037753107154</v>
      </c>
      <c r="G175" s="209">
        <f t="shared" si="115"/>
        <v>10.217308041730782</v>
      </c>
      <c r="H175" s="209">
        <f t="shared" si="115"/>
        <v>3.8117174261527484</v>
      </c>
      <c r="I175" s="209">
        <f t="shared" si="115"/>
        <v>0</v>
      </c>
      <c r="J175" s="209">
        <f t="shared" si="115"/>
        <v>0</v>
      </c>
      <c r="K175" s="209">
        <f t="shared" si="115"/>
        <v>0</v>
      </c>
      <c r="L175" s="209">
        <f t="shared" si="115"/>
        <v>0</v>
      </c>
      <c r="M175" s="209">
        <f t="shared" si="115"/>
        <v>3.8007702736975153</v>
      </c>
      <c r="N175" s="209">
        <f t="shared" si="115"/>
        <v>12.864290970008444</v>
      </c>
      <c r="O175" s="209">
        <f t="shared" si="115"/>
        <v>19.933409531198951</v>
      </c>
    </row>
    <row r="176" spans="3:16" ht="15" thickBot="1"/>
    <row r="177" spans="3:17" ht="15.75" thickBot="1">
      <c r="C177" s="147" t="s">
        <v>354</v>
      </c>
      <c r="D177" s="111" t="s">
        <v>832</v>
      </c>
      <c r="E177" s="112" t="s">
        <v>842</v>
      </c>
      <c r="F177" s="112" t="s">
        <v>833</v>
      </c>
      <c r="G177" s="112" t="s">
        <v>834</v>
      </c>
      <c r="H177" s="112" t="s">
        <v>835</v>
      </c>
      <c r="I177" s="112" t="s">
        <v>836</v>
      </c>
      <c r="J177" s="112" t="s">
        <v>837</v>
      </c>
      <c r="K177" s="112" t="s">
        <v>838</v>
      </c>
      <c r="L177" s="112" t="s">
        <v>839</v>
      </c>
      <c r="M177" s="112" t="s">
        <v>840</v>
      </c>
      <c r="N177" s="112" t="s">
        <v>841</v>
      </c>
      <c r="O177" s="113" t="s">
        <v>843</v>
      </c>
      <c r="P177" s="110" t="s">
        <v>33</v>
      </c>
    </row>
    <row r="178" spans="3:17">
      <c r="C178" s="142" t="s">
        <v>285</v>
      </c>
      <c r="D178" s="209">
        <f>D147/$D$3</f>
        <v>0</v>
      </c>
      <c r="E178" s="209">
        <f t="shared" ref="E178:O178" si="116">E147/$D$3</f>
        <v>0</v>
      </c>
      <c r="F178" s="209">
        <f t="shared" si="116"/>
        <v>0</v>
      </c>
      <c r="G178" s="209">
        <f t="shared" si="116"/>
        <v>0</v>
      </c>
      <c r="H178" s="209">
        <f t="shared" si="116"/>
        <v>-4.6932342748341735</v>
      </c>
      <c r="I178" s="209">
        <f t="shared" si="116"/>
        <v>-4.0906516724924815</v>
      </c>
      <c r="J178" s="209">
        <f t="shared" si="116"/>
        <v>-3.2895055405681313</v>
      </c>
      <c r="K178" s="209">
        <f t="shared" si="116"/>
        <v>-3.0522363088383666</v>
      </c>
      <c r="L178" s="209">
        <f t="shared" si="116"/>
        <v>-3.0920409687728028</v>
      </c>
      <c r="M178" s="209">
        <f t="shared" si="116"/>
        <v>0</v>
      </c>
      <c r="N178" s="209">
        <f t="shared" si="116"/>
        <v>0</v>
      </c>
      <c r="O178" s="209">
        <f t="shared" si="116"/>
        <v>0</v>
      </c>
    </row>
    <row r="179" spans="3:17">
      <c r="C179" s="385" t="s">
        <v>349</v>
      </c>
      <c r="D179" s="388">
        <f t="shared" ref="D179:O179" si="117">D148/$D$3</f>
        <v>0</v>
      </c>
      <c r="E179" s="388">
        <f t="shared" si="117"/>
        <v>0</v>
      </c>
      <c r="F179" s="388">
        <f t="shared" si="117"/>
        <v>0</v>
      </c>
      <c r="G179" s="388">
        <f t="shared" si="117"/>
        <v>0</v>
      </c>
      <c r="H179" s="388">
        <f t="shared" si="117"/>
        <v>-0.52901913228517816</v>
      </c>
      <c r="I179" s="388">
        <f t="shared" si="117"/>
        <v>-0.46109630833192261</v>
      </c>
      <c r="J179" s="388">
        <f t="shared" si="117"/>
        <v>-0.37079149789089233</v>
      </c>
      <c r="K179" s="388">
        <f t="shared" si="117"/>
        <v>-0.34404662309086187</v>
      </c>
      <c r="L179" s="388">
        <f t="shared" si="117"/>
        <v>-0.34853338540152157</v>
      </c>
      <c r="M179" s="388">
        <f t="shared" si="117"/>
        <v>0</v>
      </c>
      <c r="N179" s="388">
        <f t="shared" si="117"/>
        <v>0</v>
      </c>
      <c r="O179" s="388">
        <f t="shared" si="117"/>
        <v>0</v>
      </c>
      <c r="P179" s="704">
        <f t="shared" ref="P179:P180" si="118">SUM(D179:O179)</f>
        <v>-2.0534869470003763</v>
      </c>
    </row>
    <row r="180" spans="3:17">
      <c r="C180" s="385" t="s">
        <v>350</v>
      </c>
      <c r="D180" s="388">
        <f t="shared" ref="D180:O180" si="119">D149/$D$3</f>
        <v>0</v>
      </c>
      <c r="E180" s="388">
        <f t="shared" si="119"/>
        <v>0</v>
      </c>
      <c r="F180" s="388">
        <f t="shared" si="119"/>
        <v>0</v>
      </c>
      <c r="G180" s="388">
        <f t="shared" si="119"/>
        <v>0</v>
      </c>
      <c r="H180" s="388">
        <f t="shared" si="119"/>
        <v>-4.1642151425489953</v>
      </c>
      <c r="I180" s="388">
        <f t="shared" si="119"/>
        <v>-3.6295553641605593</v>
      </c>
      <c r="J180" s="388">
        <f t="shared" si="119"/>
        <v>-2.91871404267724</v>
      </c>
      <c r="K180" s="388">
        <f t="shared" si="119"/>
        <v>-2.708189685747505</v>
      </c>
      <c r="L180" s="388">
        <f t="shared" si="119"/>
        <v>-2.7435075833712812</v>
      </c>
      <c r="M180" s="388">
        <f t="shared" si="119"/>
        <v>0</v>
      </c>
      <c r="N180" s="388">
        <f t="shared" si="119"/>
        <v>0</v>
      </c>
      <c r="O180" s="388">
        <f t="shared" si="119"/>
        <v>0</v>
      </c>
      <c r="P180" s="704">
        <f t="shared" si="118"/>
        <v>-16.164181818505583</v>
      </c>
    </row>
    <row r="181" spans="3:17">
      <c r="C181" s="386" t="s">
        <v>286</v>
      </c>
      <c r="D181" s="209">
        <f t="shared" ref="D181:O181" si="120">D150/$D$3</f>
        <v>0</v>
      </c>
      <c r="E181" s="209">
        <f t="shared" si="120"/>
        <v>0</v>
      </c>
      <c r="F181" s="209">
        <f t="shared" si="120"/>
        <v>0</v>
      </c>
      <c r="G181" s="209">
        <f t="shared" si="120"/>
        <v>0</v>
      </c>
      <c r="H181" s="209">
        <f t="shared" si="120"/>
        <v>-0.59642250967231436</v>
      </c>
      <c r="I181" s="209">
        <f t="shared" si="120"/>
        <v>-0.56647866806341385</v>
      </c>
      <c r="J181" s="209">
        <f t="shared" si="120"/>
        <v>-0.72487462107343592</v>
      </c>
      <c r="K181" s="209">
        <f t="shared" si="120"/>
        <v>-0.87235248030119639</v>
      </c>
      <c r="L181" s="209">
        <f t="shared" si="120"/>
        <v>-0.86574068535668858</v>
      </c>
      <c r="M181" s="209">
        <f t="shared" si="120"/>
        <v>0</v>
      </c>
      <c r="N181" s="209">
        <f t="shared" si="120"/>
        <v>0</v>
      </c>
      <c r="O181" s="209">
        <f t="shared" si="120"/>
        <v>0</v>
      </c>
    </row>
    <row r="182" spans="3:17">
      <c r="C182" s="143" t="s">
        <v>287</v>
      </c>
      <c r="D182" s="209">
        <f t="shared" ref="D182:O182" si="121">D151/$D$3</f>
        <v>0</v>
      </c>
      <c r="E182" s="209">
        <f t="shared" si="121"/>
        <v>0</v>
      </c>
      <c r="F182" s="209">
        <f t="shared" si="121"/>
        <v>0</v>
      </c>
      <c r="G182" s="209">
        <f t="shared" si="121"/>
        <v>0</v>
      </c>
      <c r="H182" s="209">
        <f t="shared" si="121"/>
        <v>-5.5145527086838575</v>
      </c>
      <c r="I182" s="209">
        <f t="shared" si="121"/>
        <v>-4.8065178381964779</v>
      </c>
      <c r="J182" s="209">
        <f t="shared" si="121"/>
        <v>-3.8651707173964795</v>
      </c>
      <c r="K182" s="209">
        <f t="shared" si="121"/>
        <v>-3.5863792469730376</v>
      </c>
      <c r="L182" s="209">
        <f t="shared" si="121"/>
        <v>-3.633149743054322</v>
      </c>
      <c r="M182" s="209">
        <f t="shared" si="121"/>
        <v>0</v>
      </c>
      <c r="N182" s="209">
        <f t="shared" si="121"/>
        <v>0</v>
      </c>
      <c r="O182" s="209">
        <f t="shared" si="121"/>
        <v>0</v>
      </c>
    </row>
    <row r="183" spans="3:17">
      <c r="C183" s="143" t="s">
        <v>288</v>
      </c>
      <c r="D183" s="209">
        <f t="shared" ref="D183:O183" si="122">D152/$D$3</f>
        <v>0</v>
      </c>
      <c r="E183" s="209">
        <f t="shared" si="122"/>
        <v>0</v>
      </c>
      <c r="F183" s="209">
        <f t="shared" si="122"/>
        <v>0</v>
      </c>
      <c r="G183" s="209">
        <f t="shared" si="122"/>
        <v>0</v>
      </c>
      <c r="H183" s="209">
        <f t="shared" si="122"/>
        <v>13.251148865934905</v>
      </c>
      <c r="I183" s="209">
        <f t="shared" si="122"/>
        <v>13.815083269970403</v>
      </c>
      <c r="J183" s="209">
        <f t="shared" si="122"/>
        <v>15.000790638636474</v>
      </c>
      <c r="K183" s="209">
        <f t="shared" si="122"/>
        <v>13.14627037793402</v>
      </c>
      <c r="L183" s="209">
        <f t="shared" si="122"/>
        <v>9.9655488173376217</v>
      </c>
      <c r="M183" s="209">
        <f t="shared" si="122"/>
        <v>0</v>
      </c>
      <c r="N183" s="209">
        <f t="shared" si="122"/>
        <v>0</v>
      </c>
      <c r="O183" s="209">
        <f t="shared" si="122"/>
        <v>0</v>
      </c>
    </row>
    <row r="184" spans="3:17">
      <c r="C184" s="143" t="s">
        <v>284</v>
      </c>
      <c r="D184" s="209">
        <f t="shared" ref="D184:O184" si="123">D153/$D$3</f>
        <v>0</v>
      </c>
      <c r="E184" s="209">
        <f t="shared" si="123"/>
        <v>0</v>
      </c>
      <c r="F184" s="209">
        <f t="shared" si="123"/>
        <v>0</v>
      </c>
      <c r="G184" s="209">
        <f t="shared" si="123"/>
        <v>0</v>
      </c>
      <c r="H184" s="209">
        <f t="shared" si="123"/>
        <v>1.4880000000000002</v>
      </c>
      <c r="I184" s="209">
        <f t="shared" si="123"/>
        <v>1.4400000000000002</v>
      </c>
      <c r="J184" s="209">
        <f t="shared" si="123"/>
        <v>1.4880000000000002</v>
      </c>
      <c r="K184" s="209">
        <f t="shared" si="123"/>
        <v>1.4880000000000002</v>
      </c>
      <c r="L184" s="209">
        <f t="shared" si="123"/>
        <v>1.4400000000000002</v>
      </c>
      <c r="M184" s="209">
        <f t="shared" si="123"/>
        <v>0</v>
      </c>
      <c r="N184" s="209">
        <f t="shared" si="123"/>
        <v>0</v>
      </c>
      <c r="O184" s="209">
        <f t="shared" si="123"/>
        <v>0</v>
      </c>
    </row>
    <row r="185" spans="3:17">
      <c r="C185" s="143" t="s">
        <v>289</v>
      </c>
      <c r="D185" s="209">
        <f t="shared" ref="D185:O185" si="124">D154/$D$3</f>
        <v>0</v>
      </c>
      <c r="E185" s="209">
        <f t="shared" si="124"/>
        <v>0</v>
      </c>
      <c r="F185" s="209">
        <f t="shared" si="124"/>
        <v>0</v>
      </c>
      <c r="G185" s="209">
        <f t="shared" si="124"/>
        <v>0</v>
      </c>
      <c r="H185" s="209">
        <f t="shared" si="124"/>
        <v>0</v>
      </c>
      <c r="I185" s="209">
        <f t="shared" si="124"/>
        <v>5.2970529794628754E-2</v>
      </c>
      <c r="J185" s="209">
        <f t="shared" si="124"/>
        <v>0.5906448454976303</v>
      </c>
      <c r="K185" s="209">
        <f t="shared" si="124"/>
        <v>0.70549245434439212</v>
      </c>
      <c r="L185" s="209">
        <f t="shared" si="124"/>
        <v>0.31688564726698265</v>
      </c>
      <c r="M185" s="209">
        <f t="shared" si="124"/>
        <v>0</v>
      </c>
      <c r="N185" s="209">
        <f t="shared" si="124"/>
        <v>0</v>
      </c>
      <c r="O185" s="209">
        <f t="shared" si="124"/>
        <v>0</v>
      </c>
    </row>
    <row r="186" spans="3:17">
      <c r="C186" s="387" t="s">
        <v>351</v>
      </c>
      <c r="D186" s="388">
        <f t="shared" ref="D186:O186" si="125">D155/$D$3</f>
        <v>0</v>
      </c>
      <c r="E186" s="388">
        <f t="shared" si="125"/>
        <v>0</v>
      </c>
      <c r="F186" s="388">
        <f t="shared" si="125"/>
        <v>0</v>
      </c>
      <c r="G186" s="388">
        <f t="shared" si="125"/>
        <v>0</v>
      </c>
      <c r="H186" s="388">
        <f t="shared" si="125"/>
        <v>0</v>
      </c>
      <c r="I186" s="388">
        <f t="shared" si="125"/>
        <v>5.9708128909952609E-3</v>
      </c>
      <c r="J186" s="388">
        <f t="shared" si="125"/>
        <v>6.6577205687203794E-2</v>
      </c>
      <c r="K186" s="388">
        <f t="shared" si="125"/>
        <v>7.9522773459715687E-2</v>
      </c>
      <c r="L186" s="388">
        <f t="shared" si="125"/>
        <v>3.5719199241706162E-2</v>
      </c>
      <c r="M186" s="388">
        <f t="shared" si="125"/>
        <v>0</v>
      </c>
      <c r="N186" s="388">
        <f t="shared" si="125"/>
        <v>0</v>
      </c>
      <c r="O186" s="388">
        <f t="shared" si="125"/>
        <v>0</v>
      </c>
      <c r="P186" s="704">
        <f t="shared" ref="P186:P187" si="126">SUM(D186:O186)</f>
        <v>0.1877899912796209</v>
      </c>
    </row>
    <row r="187" spans="3:17">
      <c r="C187" s="387" t="s">
        <v>483</v>
      </c>
      <c r="D187" s="388">
        <f t="shared" ref="D187:O187" si="127">D156/$D$3</f>
        <v>0</v>
      </c>
      <c r="E187" s="388">
        <f t="shared" si="127"/>
        <v>0</v>
      </c>
      <c r="F187" s="388">
        <f t="shared" si="127"/>
        <v>0</v>
      </c>
      <c r="G187" s="388">
        <f t="shared" si="127"/>
        <v>0</v>
      </c>
      <c r="H187" s="388">
        <f t="shared" si="127"/>
        <v>0</v>
      </c>
      <c r="I187" s="388">
        <f t="shared" si="127"/>
        <v>4.6999716903633498E-2</v>
      </c>
      <c r="J187" s="388">
        <f t="shared" si="127"/>
        <v>0.52406763981042659</v>
      </c>
      <c r="K187" s="388">
        <f t="shared" si="127"/>
        <v>0.62596968088467664</v>
      </c>
      <c r="L187" s="388">
        <f t="shared" si="127"/>
        <v>0.28116644802527652</v>
      </c>
      <c r="M187" s="388">
        <f t="shared" si="127"/>
        <v>0</v>
      </c>
      <c r="N187" s="388">
        <f t="shared" si="127"/>
        <v>0</v>
      </c>
      <c r="O187" s="388">
        <f t="shared" si="127"/>
        <v>0</v>
      </c>
      <c r="P187" s="704">
        <f t="shared" si="126"/>
        <v>1.4782034856240132</v>
      </c>
    </row>
    <row r="188" spans="3:17">
      <c r="C188" s="144" t="s">
        <v>290</v>
      </c>
      <c r="D188" s="209">
        <f t="shared" ref="D188:O188" si="128">D157/$D$3</f>
        <v>0</v>
      </c>
      <c r="E188" s="209">
        <f t="shared" si="128"/>
        <v>0</v>
      </c>
      <c r="F188" s="209">
        <f t="shared" si="128"/>
        <v>0</v>
      </c>
      <c r="G188" s="209">
        <f t="shared" si="128"/>
        <v>0</v>
      </c>
      <c r="H188" s="209">
        <f t="shared" si="128"/>
        <v>0</v>
      </c>
      <c r="I188" s="209">
        <f t="shared" si="128"/>
        <v>0</v>
      </c>
      <c r="J188" s="209">
        <f t="shared" si="128"/>
        <v>0</v>
      </c>
      <c r="K188" s="209">
        <f t="shared" si="128"/>
        <v>0</v>
      </c>
      <c r="L188" s="209">
        <f t="shared" si="128"/>
        <v>0</v>
      </c>
      <c r="M188" s="209">
        <f t="shared" si="128"/>
        <v>0</v>
      </c>
      <c r="N188" s="209">
        <f t="shared" si="128"/>
        <v>0</v>
      </c>
      <c r="O188" s="209">
        <f t="shared" si="128"/>
        <v>0</v>
      </c>
    </row>
    <row r="189" spans="3:17" ht="15" thickBot="1">
      <c r="C189" s="214" t="s">
        <v>291</v>
      </c>
      <c r="D189" s="209">
        <f t="shared" ref="D189:O189" si="129">D158/$D$3</f>
        <v>0</v>
      </c>
      <c r="E189" s="209">
        <f t="shared" si="129"/>
        <v>0</v>
      </c>
      <c r="F189" s="209">
        <f t="shared" si="129"/>
        <v>0</v>
      </c>
      <c r="G189" s="209">
        <f t="shared" si="129"/>
        <v>0</v>
      </c>
      <c r="H189" s="209">
        <f t="shared" si="129"/>
        <v>0</v>
      </c>
      <c r="I189" s="209">
        <f t="shared" si="129"/>
        <v>1.0373400000000003E-2</v>
      </c>
      <c r="J189" s="209">
        <f t="shared" si="129"/>
        <v>0.11566800000000002</v>
      </c>
      <c r="K189" s="209">
        <f t="shared" si="129"/>
        <v>0.13815900000000012</v>
      </c>
      <c r="L189" s="209">
        <f t="shared" si="129"/>
        <v>6.205680000000003E-2</v>
      </c>
      <c r="M189" s="209">
        <f t="shared" si="129"/>
        <v>0</v>
      </c>
      <c r="N189" s="209">
        <f t="shared" si="129"/>
        <v>0</v>
      </c>
      <c r="O189" s="209">
        <f t="shared" si="129"/>
        <v>0</v>
      </c>
    </row>
    <row r="190" spans="3:17" ht="15.75" thickBot="1">
      <c r="C190" s="222" t="s">
        <v>33</v>
      </c>
      <c r="D190" s="209">
        <f t="shared" ref="D190:O190" si="130">D159/$D$3</f>
        <v>0</v>
      </c>
      <c r="E190" s="209">
        <f t="shared" si="130"/>
        <v>0</v>
      </c>
      <c r="F190" s="209">
        <f t="shared" si="130"/>
        <v>0</v>
      </c>
      <c r="G190" s="209">
        <f t="shared" si="130"/>
        <v>0</v>
      </c>
      <c r="H190" s="209">
        <f t="shared" si="130"/>
        <v>3.9349393727445592</v>
      </c>
      <c r="I190" s="209">
        <f t="shared" si="130"/>
        <v>5.854779021012658</v>
      </c>
      <c r="J190" s="209">
        <f t="shared" si="130"/>
        <v>9.3155526050960589</v>
      </c>
      <c r="K190" s="209">
        <f t="shared" si="130"/>
        <v>7.9669537961658117</v>
      </c>
      <c r="L190" s="209">
        <f t="shared" si="130"/>
        <v>4.1935598674207899</v>
      </c>
      <c r="M190" s="209">
        <f t="shared" si="130"/>
        <v>0</v>
      </c>
      <c r="N190" s="209">
        <f t="shared" si="130"/>
        <v>0</v>
      </c>
      <c r="O190" s="209">
        <f t="shared" si="130"/>
        <v>0</v>
      </c>
    </row>
    <row r="191" spans="3:17" ht="15" thickBot="1"/>
    <row r="192" spans="3:17" ht="15">
      <c r="C192" s="709" t="s">
        <v>955</v>
      </c>
      <c r="D192" s="111" t="s">
        <v>832</v>
      </c>
      <c r="E192" s="112" t="s">
        <v>842</v>
      </c>
      <c r="F192" s="112" t="s">
        <v>833</v>
      </c>
      <c r="G192" s="112" t="s">
        <v>834</v>
      </c>
      <c r="H192" s="112" t="s">
        <v>835</v>
      </c>
      <c r="I192" s="112" t="s">
        <v>836</v>
      </c>
      <c r="J192" s="112" t="s">
        <v>837</v>
      </c>
      <c r="K192" s="112" t="s">
        <v>838</v>
      </c>
      <c r="L192" s="112" t="s">
        <v>839</v>
      </c>
      <c r="M192" s="112" t="s">
        <v>840</v>
      </c>
      <c r="N192" s="112" t="s">
        <v>841</v>
      </c>
      <c r="O192" s="703" t="s">
        <v>843</v>
      </c>
      <c r="P192" s="169" t="s">
        <v>919</v>
      </c>
      <c r="Q192" s="169" t="s">
        <v>917</v>
      </c>
    </row>
    <row r="193" spans="3:17">
      <c r="C193" s="713" t="s">
        <v>920</v>
      </c>
      <c r="D193" s="135">
        <f>IF(D112=0,0,$D$30*$D$43/1000)</f>
        <v>1435.3836900000015</v>
      </c>
      <c r="E193" s="135">
        <f>IF(E112=0,0,$D$30*$E$43/1000)</f>
        <v>1201.7834399999999</v>
      </c>
      <c r="F193" s="135">
        <f>IF(F112=0,0,$D$30*$F$43/1000)</f>
        <v>1120.2219599999989</v>
      </c>
      <c r="G193" s="135">
        <f>IF(G112=0,0,$D$30*$G$43/1000)</f>
        <v>847.48657500000127</v>
      </c>
      <c r="H193" s="135">
        <f>IF(H112=0,0,$D$30*$H$43/1000)</f>
        <v>484.11050999999964</v>
      </c>
      <c r="I193" s="135">
        <f>IF(I112=0,0,$D$30*$I$43/1000)</f>
        <v>0</v>
      </c>
      <c r="J193" s="135">
        <f>IF(J112=0,0,$D$30*$J$43/1000)</f>
        <v>0</v>
      </c>
      <c r="K193" s="135">
        <f>IF(K112=0,0,$D$30*$K$43/1000)</f>
        <v>0</v>
      </c>
      <c r="L193" s="135">
        <f>IF(L112=0,0,$D$30*$L$43/1000)</f>
        <v>0</v>
      </c>
      <c r="M193" s="135">
        <f>IF(M112=0,0,$D$30*$M$43/1000)</f>
        <v>369.50452500000006</v>
      </c>
      <c r="N193" s="135">
        <f>IF(N112=0,0,$D$30*$N$43/1000)</f>
        <v>891.70984500000009</v>
      </c>
      <c r="O193" s="135">
        <f>IF(O112=0,0,$D$30*$O$43/1000)</f>
        <v>1319.3779949999998</v>
      </c>
      <c r="P193" s="135">
        <f>SUM(D193:O193)</f>
        <v>7669.5785400000013</v>
      </c>
      <c r="Q193" s="209">
        <f>P193/$D$3</f>
        <v>4.8464951279620863</v>
      </c>
    </row>
    <row r="194" spans="3:17">
      <c r="C194" s="713" t="s">
        <v>921</v>
      </c>
      <c r="D194" s="135">
        <f>IF(D112=0,0,$E$30*D$43/1000)</f>
        <v>0</v>
      </c>
      <c r="E194" s="135">
        <f t="shared" ref="E194:O194" si="131">IF(E112=0,0,$E$30*E$43/1000)</f>
        <v>0</v>
      </c>
      <c r="F194" s="135">
        <f t="shared" si="131"/>
        <v>0</v>
      </c>
      <c r="G194" s="135">
        <f t="shared" si="131"/>
        <v>0</v>
      </c>
      <c r="H194" s="135">
        <f t="shared" si="131"/>
        <v>0</v>
      </c>
      <c r="I194" s="135">
        <f t="shared" si="131"/>
        <v>0</v>
      </c>
      <c r="J194" s="135">
        <f t="shared" si="131"/>
        <v>0</v>
      </c>
      <c r="K194" s="135">
        <f t="shared" si="131"/>
        <v>0</v>
      </c>
      <c r="L194" s="135">
        <f t="shared" si="131"/>
        <v>0</v>
      </c>
      <c r="M194" s="135">
        <f t="shared" si="131"/>
        <v>0</v>
      </c>
      <c r="N194" s="135">
        <f t="shared" si="131"/>
        <v>0</v>
      </c>
      <c r="O194" s="135">
        <f t="shared" si="131"/>
        <v>0</v>
      </c>
      <c r="P194" s="135">
        <f t="shared" ref="P194:P206" si="132">SUM(D194:O194)</f>
        <v>0</v>
      </c>
      <c r="Q194" s="209">
        <f t="shared" ref="Q194:Q221" si="133">P194/$D$3</f>
        <v>0</v>
      </c>
    </row>
    <row r="195" spans="3:17">
      <c r="C195" s="713" t="s">
        <v>922</v>
      </c>
      <c r="D195" s="135">
        <f>IF(D112=0,0,$F$30*D$43/1000)</f>
        <v>7005.2643180000086</v>
      </c>
      <c r="E195" s="135">
        <f t="shared" ref="E195:O195" si="134">IF(E112=0,0,$F$30*E$43/1000)</f>
        <v>5865.1987680000002</v>
      </c>
      <c r="F195" s="135">
        <f t="shared" si="134"/>
        <v>5467.1451119999956</v>
      </c>
      <c r="G195" s="135">
        <f t="shared" si="134"/>
        <v>4136.0839650000062</v>
      </c>
      <c r="H195" s="135">
        <f t="shared" si="134"/>
        <v>2362.6589219999987</v>
      </c>
      <c r="I195" s="135">
        <f t="shared" si="134"/>
        <v>0</v>
      </c>
      <c r="J195" s="135">
        <f t="shared" si="134"/>
        <v>0</v>
      </c>
      <c r="K195" s="135">
        <f t="shared" si="134"/>
        <v>0</v>
      </c>
      <c r="L195" s="135">
        <f t="shared" si="134"/>
        <v>0</v>
      </c>
      <c r="M195" s="135">
        <f t="shared" si="134"/>
        <v>1803.3344550000004</v>
      </c>
      <c r="N195" s="135">
        <f t="shared" si="134"/>
        <v>4351.9117590000005</v>
      </c>
      <c r="O195" s="135">
        <f t="shared" si="134"/>
        <v>6439.1086890000006</v>
      </c>
      <c r="P195" s="135">
        <f t="shared" si="132"/>
        <v>37430.705988000009</v>
      </c>
      <c r="Q195" s="209">
        <f t="shared" si="133"/>
        <v>23.652894779146926</v>
      </c>
    </row>
    <row r="196" spans="3:17">
      <c r="C196" s="713" t="s">
        <v>923</v>
      </c>
      <c r="D196" s="135">
        <f>IF(D112=0,0,$G$30*D$43/1000)</f>
        <v>3418.284870000004</v>
      </c>
      <c r="E196" s="135">
        <f t="shared" ref="E196:O196" si="135">IF(E112=0,0,$G$30*E$43/1000)</f>
        <v>2861.9791199999995</v>
      </c>
      <c r="F196" s="135">
        <f t="shared" si="135"/>
        <v>2667.7450799999979</v>
      </c>
      <c r="G196" s="135">
        <f t="shared" si="135"/>
        <v>2018.2412250000029</v>
      </c>
      <c r="H196" s="135">
        <f t="shared" si="135"/>
        <v>1152.8817299999994</v>
      </c>
      <c r="I196" s="135">
        <f t="shared" si="135"/>
        <v>0</v>
      </c>
      <c r="J196" s="135">
        <f t="shared" si="135"/>
        <v>0</v>
      </c>
      <c r="K196" s="135">
        <f t="shared" si="135"/>
        <v>0</v>
      </c>
      <c r="L196" s="135">
        <f t="shared" si="135"/>
        <v>0</v>
      </c>
      <c r="M196" s="135">
        <f t="shared" si="135"/>
        <v>879.9540750000001</v>
      </c>
      <c r="N196" s="135">
        <f t="shared" si="135"/>
        <v>2123.556435</v>
      </c>
      <c r="O196" s="135">
        <f t="shared" si="135"/>
        <v>3142.0238849999996</v>
      </c>
      <c r="P196" s="135">
        <f t="shared" si="132"/>
        <v>18264.666420000001</v>
      </c>
      <c r="Q196" s="209">
        <f t="shared" si="133"/>
        <v>11.541653345971564</v>
      </c>
    </row>
    <row r="197" spans="3:17">
      <c r="C197" s="713" t="s">
        <v>924</v>
      </c>
      <c r="D197" s="135">
        <f>IF(D112=0,0,$H$30*D$43/1000)</f>
        <v>7005.2643180000086</v>
      </c>
      <c r="E197" s="135">
        <f t="shared" ref="E197:O197" si="136">IF(E112=0,0,$H$30*E$43/1000)</f>
        <v>5865.1987680000002</v>
      </c>
      <c r="F197" s="135">
        <f t="shared" si="136"/>
        <v>5467.1451119999956</v>
      </c>
      <c r="G197" s="135">
        <f t="shared" si="136"/>
        <v>4136.0839650000062</v>
      </c>
      <c r="H197" s="135">
        <f t="shared" si="136"/>
        <v>2362.6589219999987</v>
      </c>
      <c r="I197" s="135">
        <f t="shared" si="136"/>
        <v>0</v>
      </c>
      <c r="J197" s="135">
        <f t="shared" si="136"/>
        <v>0</v>
      </c>
      <c r="K197" s="135">
        <f t="shared" si="136"/>
        <v>0</v>
      </c>
      <c r="L197" s="135">
        <f t="shared" si="136"/>
        <v>0</v>
      </c>
      <c r="M197" s="135">
        <f t="shared" si="136"/>
        <v>1803.3344550000004</v>
      </c>
      <c r="N197" s="135">
        <f t="shared" si="136"/>
        <v>4351.9117590000005</v>
      </c>
      <c r="O197" s="135">
        <f t="shared" si="136"/>
        <v>6439.1086890000006</v>
      </c>
      <c r="P197" s="135">
        <f t="shared" si="132"/>
        <v>37430.705988000009</v>
      </c>
      <c r="Q197" s="209">
        <f t="shared" si="133"/>
        <v>23.652894779146926</v>
      </c>
    </row>
    <row r="198" spans="3:17">
      <c r="C198" s="713" t="s">
        <v>925</v>
      </c>
      <c r="D198" s="135">
        <f>IF(D112=0,0,$I$30*D$43/1000)</f>
        <v>0</v>
      </c>
      <c r="E198" s="135">
        <f t="shared" ref="E198:O198" si="137">IF(E112=0,0,$I$30*E$43/1000)</f>
        <v>0</v>
      </c>
      <c r="F198" s="135">
        <f t="shared" si="137"/>
        <v>0</v>
      </c>
      <c r="G198" s="135">
        <f t="shared" si="137"/>
        <v>0</v>
      </c>
      <c r="H198" s="135">
        <f t="shared" si="137"/>
        <v>0</v>
      </c>
      <c r="I198" s="135">
        <f t="shared" si="137"/>
        <v>0</v>
      </c>
      <c r="J198" s="135">
        <f t="shared" si="137"/>
        <v>0</v>
      </c>
      <c r="K198" s="135">
        <f t="shared" si="137"/>
        <v>0</v>
      </c>
      <c r="L198" s="135">
        <f t="shared" si="137"/>
        <v>0</v>
      </c>
      <c r="M198" s="135">
        <f t="shared" si="137"/>
        <v>0</v>
      </c>
      <c r="N198" s="135">
        <f t="shared" si="137"/>
        <v>0</v>
      </c>
      <c r="O198" s="135">
        <f t="shared" si="137"/>
        <v>0</v>
      </c>
      <c r="P198" s="135">
        <f t="shared" si="132"/>
        <v>0</v>
      </c>
      <c r="Q198" s="209">
        <f t="shared" si="133"/>
        <v>0</v>
      </c>
    </row>
    <row r="199" spans="3:17">
      <c r="C199" s="713" t="s">
        <v>926</v>
      </c>
      <c r="D199" s="135">
        <f>IF(D112=0,0,$J$30*D$43/1000)</f>
        <v>5091.9506000000065</v>
      </c>
      <c r="E199" s="135">
        <f t="shared" ref="E199:O199" si="138">IF(E112=0,0,$J$30*E$43/1000)</f>
        <v>4263.2655999999997</v>
      </c>
      <c r="F199" s="135">
        <f t="shared" si="138"/>
        <v>3973.9303999999966</v>
      </c>
      <c r="G199" s="135">
        <f t="shared" si="138"/>
        <v>3006.4155000000042</v>
      </c>
      <c r="H199" s="135">
        <f t="shared" si="138"/>
        <v>1717.3573999999987</v>
      </c>
      <c r="I199" s="135">
        <f t="shared" si="138"/>
        <v>0</v>
      </c>
      <c r="J199" s="135">
        <f t="shared" si="138"/>
        <v>0</v>
      </c>
      <c r="K199" s="135">
        <f t="shared" si="138"/>
        <v>0</v>
      </c>
      <c r="L199" s="135">
        <f t="shared" si="138"/>
        <v>0</v>
      </c>
      <c r="M199" s="135">
        <f t="shared" si="138"/>
        <v>1310.7985000000003</v>
      </c>
      <c r="N199" s="135">
        <f t="shared" si="138"/>
        <v>3163.2953000000002</v>
      </c>
      <c r="O199" s="135">
        <f t="shared" si="138"/>
        <v>4680.4263000000001</v>
      </c>
      <c r="P199" s="135">
        <f t="shared" si="132"/>
        <v>27207.439600000009</v>
      </c>
      <c r="Q199" s="209">
        <f t="shared" si="133"/>
        <v>17.192694849921018</v>
      </c>
    </row>
    <row r="200" spans="3:17">
      <c r="C200" s="713" t="s">
        <v>927</v>
      </c>
      <c r="D200" s="135">
        <f>IF(D112=0,0,$K$30*D$43/1000)</f>
        <v>0</v>
      </c>
      <c r="E200" s="135">
        <f t="shared" ref="E200:O200" si="139">IF(E112=0,0,$K$30*E$43/1000)</f>
        <v>0</v>
      </c>
      <c r="F200" s="135">
        <f t="shared" si="139"/>
        <v>0</v>
      </c>
      <c r="G200" s="135">
        <f t="shared" si="139"/>
        <v>0</v>
      </c>
      <c r="H200" s="135">
        <f t="shared" si="139"/>
        <v>0</v>
      </c>
      <c r="I200" s="135">
        <f t="shared" si="139"/>
        <v>0</v>
      </c>
      <c r="J200" s="135">
        <f t="shared" si="139"/>
        <v>0</v>
      </c>
      <c r="K200" s="135">
        <f t="shared" si="139"/>
        <v>0</v>
      </c>
      <c r="L200" s="135">
        <f t="shared" si="139"/>
        <v>0</v>
      </c>
      <c r="M200" s="135">
        <f t="shared" si="139"/>
        <v>0</v>
      </c>
      <c r="N200" s="135">
        <f t="shared" si="139"/>
        <v>0</v>
      </c>
      <c r="O200" s="135">
        <f t="shared" si="139"/>
        <v>0</v>
      </c>
      <c r="P200" s="135">
        <f t="shared" si="132"/>
        <v>0</v>
      </c>
      <c r="Q200" s="209">
        <f t="shared" si="133"/>
        <v>0</v>
      </c>
    </row>
    <row r="201" spans="3:17">
      <c r="C201" s="713" t="str">
        <f>CONCATENATE("Trans.Loss /",L13)</f>
        <v>Trans.Loss /wall 1</v>
      </c>
      <c r="D201" s="135">
        <f>IF(D112=0,0,$L$30*D$43/1000)</f>
        <v>1018.0865760000012</v>
      </c>
      <c r="E201" s="135">
        <f t="shared" ref="E201:O201" si="140">IF(E112=0,0,$L$30*E$43/1000)</f>
        <v>852.39897599999995</v>
      </c>
      <c r="F201" s="135">
        <f t="shared" si="140"/>
        <v>794.54918399999929</v>
      </c>
      <c r="G201" s="135">
        <f t="shared" si="140"/>
        <v>601.1038800000008</v>
      </c>
      <c r="H201" s="135">
        <f t="shared" si="140"/>
        <v>343.36910399999977</v>
      </c>
      <c r="I201" s="135">
        <f t="shared" si="140"/>
        <v>0</v>
      </c>
      <c r="J201" s="135">
        <f t="shared" si="140"/>
        <v>0</v>
      </c>
      <c r="K201" s="135">
        <f t="shared" si="140"/>
        <v>0</v>
      </c>
      <c r="L201" s="135">
        <f t="shared" si="140"/>
        <v>0</v>
      </c>
      <c r="M201" s="135">
        <f t="shared" si="140"/>
        <v>262.08156000000002</v>
      </c>
      <c r="N201" s="135">
        <f t="shared" si="140"/>
        <v>632.47048800000005</v>
      </c>
      <c r="O201" s="135">
        <f t="shared" si="140"/>
        <v>935.80624799999987</v>
      </c>
      <c r="P201" s="135">
        <f t="shared" si="132"/>
        <v>5439.8660160000009</v>
      </c>
      <c r="Q201" s="209">
        <f t="shared" si="133"/>
        <v>3.4375140701421807</v>
      </c>
    </row>
    <row r="202" spans="3:17">
      <c r="C202" s="713" t="str">
        <f>CONCATENATE("Trans.Loss /",M13)</f>
        <v>Trans.Loss /wall 2</v>
      </c>
      <c r="D202" s="135">
        <f>IF(D112=0,0,$M$30*D$43/1000)</f>
        <v>0</v>
      </c>
      <c r="E202" s="135">
        <f t="shared" ref="E202:O202" si="141">IF(E112=0,0,$M$30*E$43/1000)</f>
        <v>0</v>
      </c>
      <c r="F202" s="135">
        <f t="shared" si="141"/>
        <v>0</v>
      </c>
      <c r="G202" s="135">
        <f t="shared" si="141"/>
        <v>0</v>
      </c>
      <c r="H202" s="135">
        <f t="shared" si="141"/>
        <v>0</v>
      </c>
      <c r="I202" s="135">
        <f t="shared" si="141"/>
        <v>0</v>
      </c>
      <c r="J202" s="135">
        <f t="shared" si="141"/>
        <v>0</v>
      </c>
      <c r="K202" s="135">
        <f t="shared" si="141"/>
        <v>0</v>
      </c>
      <c r="L202" s="135">
        <f t="shared" si="141"/>
        <v>0</v>
      </c>
      <c r="M202" s="135">
        <f t="shared" si="141"/>
        <v>0</v>
      </c>
      <c r="N202" s="135">
        <f t="shared" si="141"/>
        <v>0</v>
      </c>
      <c r="O202" s="135">
        <f t="shared" si="141"/>
        <v>0</v>
      </c>
      <c r="P202" s="135">
        <f t="shared" si="132"/>
        <v>0</v>
      </c>
      <c r="Q202" s="209">
        <f t="shared" si="133"/>
        <v>0</v>
      </c>
    </row>
    <row r="203" spans="3:17">
      <c r="C203" s="713" t="str">
        <f>CONCATENATE("Trans.Loss /",N13)</f>
        <v>Trans.Loss /wall 3</v>
      </c>
      <c r="D203" s="135">
        <f>IF(D112=0,0,$N$30*D$43/1000)</f>
        <v>0</v>
      </c>
      <c r="E203" s="135">
        <f t="shared" ref="E203:O203" si="142">IF(E112=0,0,$N$30*E$43/1000)</f>
        <v>0</v>
      </c>
      <c r="F203" s="135">
        <f t="shared" si="142"/>
        <v>0</v>
      </c>
      <c r="G203" s="135">
        <f t="shared" si="142"/>
        <v>0</v>
      </c>
      <c r="H203" s="135">
        <f t="shared" si="142"/>
        <v>0</v>
      </c>
      <c r="I203" s="135">
        <f t="shared" si="142"/>
        <v>0</v>
      </c>
      <c r="J203" s="135">
        <f t="shared" si="142"/>
        <v>0</v>
      </c>
      <c r="K203" s="135">
        <f t="shared" si="142"/>
        <v>0</v>
      </c>
      <c r="L203" s="135">
        <f t="shared" si="142"/>
        <v>0</v>
      </c>
      <c r="M203" s="135">
        <f t="shared" si="142"/>
        <v>0</v>
      </c>
      <c r="N203" s="135">
        <f t="shared" si="142"/>
        <v>0</v>
      </c>
      <c r="O203" s="135">
        <f t="shared" si="142"/>
        <v>0</v>
      </c>
      <c r="P203" s="135">
        <f t="shared" si="132"/>
        <v>0</v>
      </c>
      <c r="Q203" s="209">
        <f t="shared" si="133"/>
        <v>0</v>
      </c>
    </row>
    <row r="204" spans="3:17">
      <c r="C204" s="713" t="str">
        <f>CONCATENATE("Trans.Loss /",O13)</f>
        <v>Trans.Loss /wall 4</v>
      </c>
      <c r="D204" s="135">
        <f>IF(D112=0,0,$O$30*D$43/1000)</f>
        <v>0</v>
      </c>
      <c r="E204" s="135">
        <f t="shared" ref="E204:O204" si="143">IF(E112=0,0,$O$30*E$43/1000)</f>
        <v>0</v>
      </c>
      <c r="F204" s="135">
        <f t="shared" si="143"/>
        <v>0</v>
      </c>
      <c r="G204" s="135">
        <f t="shared" si="143"/>
        <v>0</v>
      </c>
      <c r="H204" s="135">
        <f t="shared" si="143"/>
        <v>0</v>
      </c>
      <c r="I204" s="135">
        <f t="shared" si="143"/>
        <v>0</v>
      </c>
      <c r="J204" s="135">
        <f t="shared" si="143"/>
        <v>0</v>
      </c>
      <c r="K204" s="135">
        <f t="shared" si="143"/>
        <v>0</v>
      </c>
      <c r="L204" s="135">
        <f t="shared" si="143"/>
        <v>0</v>
      </c>
      <c r="M204" s="135">
        <f t="shared" si="143"/>
        <v>0</v>
      </c>
      <c r="N204" s="135">
        <f t="shared" si="143"/>
        <v>0</v>
      </c>
      <c r="O204" s="135">
        <f t="shared" si="143"/>
        <v>0</v>
      </c>
      <c r="P204" s="135">
        <f t="shared" si="132"/>
        <v>0</v>
      </c>
      <c r="Q204" s="209">
        <f t="shared" si="133"/>
        <v>0</v>
      </c>
    </row>
    <row r="205" spans="3:17">
      <c r="C205" s="713" t="s">
        <v>928</v>
      </c>
      <c r="D205" s="135">
        <f>D135</f>
        <v>5019.6936000000005</v>
      </c>
      <c r="E205" s="135">
        <f t="shared" ref="E205:O205" si="144">E135</f>
        <v>3989.1264000000001</v>
      </c>
      <c r="F205" s="135">
        <f t="shared" si="144"/>
        <v>3245.1047999999996</v>
      </c>
      <c r="G205" s="135">
        <f t="shared" si="144"/>
        <v>2064.6719999999996</v>
      </c>
      <c r="H205" s="135">
        <f t="shared" si="144"/>
        <v>34.893600000000141</v>
      </c>
      <c r="I205" s="135">
        <f t="shared" si="144"/>
        <v>0</v>
      </c>
      <c r="J205" s="135">
        <f t="shared" si="144"/>
        <v>0</v>
      </c>
      <c r="K205" s="135">
        <f t="shared" si="144"/>
        <v>0</v>
      </c>
      <c r="L205" s="135">
        <f t="shared" si="144"/>
        <v>0</v>
      </c>
      <c r="M205" s="135">
        <f t="shared" si="144"/>
        <v>2093.6159999999995</v>
      </c>
      <c r="N205" s="135">
        <f t="shared" si="144"/>
        <v>3564.9360000000006</v>
      </c>
      <c r="O205" s="135">
        <f t="shared" si="144"/>
        <v>4735.5600000000004</v>
      </c>
      <c r="P205" s="135">
        <f t="shared" si="132"/>
        <v>24747.6024</v>
      </c>
      <c r="Q205" s="209">
        <f t="shared" si="133"/>
        <v>15.638295355450238</v>
      </c>
    </row>
    <row r="206" spans="3:17">
      <c r="C206" s="712" t="s">
        <v>360</v>
      </c>
      <c r="D206" s="699">
        <f>SUM(D193:D204)</f>
        <v>24974.234372000032</v>
      </c>
      <c r="E206" s="699">
        <f t="shared" ref="E206:O206" si="145">SUM(E193:E204)</f>
        <v>20909.824671999999</v>
      </c>
      <c r="F206" s="699">
        <f t="shared" si="145"/>
        <v>19490.736847999986</v>
      </c>
      <c r="G206" s="699">
        <f t="shared" si="145"/>
        <v>14745.415110000024</v>
      </c>
      <c r="H206" s="699">
        <f t="shared" si="145"/>
        <v>8423.0365879999954</v>
      </c>
      <c r="I206" s="699">
        <f t="shared" si="145"/>
        <v>0</v>
      </c>
      <c r="J206" s="699">
        <f t="shared" si="145"/>
        <v>0</v>
      </c>
      <c r="K206" s="699">
        <f t="shared" si="145"/>
        <v>0</v>
      </c>
      <c r="L206" s="699">
        <f t="shared" si="145"/>
        <v>0</v>
      </c>
      <c r="M206" s="699">
        <f t="shared" si="145"/>
        <v>6429.0075700000007</v>
      </c>
      <c r="N206" s="699">
        <f t="shared" si="145"/>
        <v>15514.855586000001</v>
      </c>
      <c r="O206" s="699">
        <f t="shared" si="145"/>
        <v>22955.851805999999</v>
      </c>
      <c r="P206" s="699">
        <f t="shared" si="132"/>
        <v>133442.96255200004</v>
      </c>
      <c r="Q206" s="388">
        <f t="shared" si="133"/>
        <v>84.324146952290704</v>
      </c>
    </row>
    <row r="207" spans="3:17">
      <c r="C207" s="711" t="s">
        <v>915</v>
      </c>
      <c r="D207" s="699">
        <f>D206-D134</f>
        <v>0</v>
      </c>
      <c r="E207" s="699">
        <f t="shared" ref="E207:O207" si="146">E206-E134</f>
        <v>0</v>
      </c>
      <c r="F207" s="699">
        <f t="shared" si="146"/>
        <v>0</v>
      </c>
      <c r="G207" s="699">
        <f t="shared" si="146"/>
        <v>0</v>
      </c>
      <c r="H207" s="699">
        <f t="shared" si="146"/>
        <v>0</v>
      </c>
      <c r="I207" s="699">
        <f t="shared" si="146"/>
        <v>0</v>
      </c>
      <c r="J207" s="699">
        <f t="shared" si="146"/>
        <v>0</v>
      </c>
      <c r="K207" s="699">
        <f t="shared" si="146"/>
        <v>0</v>
      </c>
      <c r="L207" s="699">
        <f t="shared" si="146"/>
        <v>0</v>
      </c>
      <c r="M207" s="699">
        <f t="shared" si="146"/>
        <v>0</v>
      </c>
      <c r="N207" s="699">
        <f t="shared" si="146"/>
        <v>0</v>
      </c>
      <c r="O207" s="699">
        <f t="shared" si="146"/>
        <v>0</v>
      </c>
      <c r="P207" s="699"/>
      <c r="Q207" s="388">
        <f t="shared" si="133"/>
        <v>0</v>
      </c>
    </row>
    <row r="208" spans="3:17">
      <c r="C208" s="713" t="s">
        <v>938</v>
      </c>
      <c r="D208" s="135">
        <f>IF(D112=0,0,-D$105*$D$30*D$44/1000)</f>
        <v>-0.33665046044692482</v>
      </c>
      <c r="E208" s="135">
        <f t="shared" ref="E208:O208" si="147">IF(E112=0,0,-E$105*$D$30*E$44/1000)</f>
        <v>-0.39142061417254614</v>
      </c>
      <c r="F208" s="135">
        <f t="shared" si="147"/>
        <v>-1.4782899817353787</v>
      </c>
      <c r="G208" s="135">
        <f t="shared" si="147"/>
        <v>-7.5505966896005283</v>
      </c>
      <c r="H208" s="135">
        <f t="shared" si="147"/>
        <v>-29.17185469345257</v>
      </c>
      <c r="I208" s="135">
        <f t="shared" si="147"/>
        <v>0</v>
      </c>
      <c r="J208" s="135">
        <f t="shared" si="147"/>
        <v>0</v>
      </c>
      <c r="K208" s="135">
        <f t="shared" si="147"/>
        <v>0</v>
      </c>
      <c r="L208" s="135">
        <f t="shared" si="147"/>
        <v>0</v>
      </c>
      <c r="M208" s="135">
        <f t="shared" si="147"/>
        <v>-56.802205723239325</v>
      </c>
      <c r="N208" s="135">
        <f t="shared" si="147"/>
        <v>-2.7082439283057851</v>
      </c>
      <c r="O208" s="135">
        <f t="shared" si="147"/>
        <v>-2.3597052751399619</v>
      </c>
      <c r="P208" s="135">
        <f>SUM(D208:O208)</f>
        <v>-100.79896736609302</v>
      </c>
      <c r="Q208" s="209">
        <f t="shared" si="133"/>
        <v>-6.3696029931180426E-2</v>
      </c>
    </row>
    <row r="209" spans="3:17">
      <c r="C209" s="713" t="s">
        <v>939</v>
      </c>
      <c r="D209" s="135">
        <f>IF(D112=0,0,-D$105*$E$30*D$44/1000)</f>
        <v>0</v>
      </c>
      <c r="E209" s="135">
        <f t="shared" ref="E209:O209" si="148">IF(E112=0,0,-E$105*$E$30*E$44/1000)</f>
        <v>0</v>
      </c>
      <c r="F209" s="135">
        <f t="shared" si="148"/>
        <v>0</v>
      </c>
      <c r="G209" s="135">
        <f t="shared" si="148"/>
        <v>0</v>
      </c>
      <c r="H209" s="135">
        <f t="shared" si="148"/>
        <v>0</v>
      </c>
      <c r="I209" s="135">
        <f t="shared" si="148"/>
        <v>0</v>
      </c>
      <c r="J209" s="135">
        <f t="shared" si="148"/>
        <v>0</v>
      </c>
      <c r="K209" s="135">
        <f t="shared" si="148"/>
        <v>0</v>
      </c>
      <c r="L209" s="135">
        <f t="shared" si="148"/>
        <v>0</v>
      </c>
      <c r="M209" s="135">
        <f t="shared" si="148"/>
        <v>0</v>
      </c>
      <c r="N209" s="135">
        <f t="shared" si="148"/>
        <v>0</v>
      </c>
      <c r="O209" s="135">
        <f t="shared" si="148"/>
        <v>0</v>
      </c>
      <c r="P209" s="135">
        <f t="shared" ref="P209:P221" si="149">SUM(D209:O209)</f>
        <v>0</v>
      </c>
      <c r="Q209" s="209">
        <f t="shared" si="133"/>
        <v>0</v>
      </c>
    </row>
    <row r="210" spans="3:17">
      <c r="C210" s="713" t="s">
        <v>940</v>
      </c>
      <c r="D210" s="135">
        <f>IF(D112=0,0,-D$105*$F$30*D$44/1000)</f>
        <v>-1.6429930719131363</v>
      </c>
      <c r="E210" s="135">
        <f t="shared" ref="E210:O210" si="150">IF(E112=0,0,-E$105*$F$30*E$44/1000)</f>
        <v>-1.9102940077245705</v>
      </c>
      <c r="F210" s="135">
        <f t="shared" si="150"/>
        <v>-7.2146647149848278</v>
      </c>
      <c r="G210" s="135">
        <f t="shared" si="150"/>
        <v>-36.850025493370005</v>
      </c>
      <c r="H210" s="135">
        <f t="shared" si="150"/>
        <v>-142.37068053484995</v>
      </c>
      <c r="I210" s="135">
        <f t="shared" si="150"/>
        <v>0</v>
      </c>
      <c r="J210" s="135">
        <f t="shared" si="150"/>
        <v>0</v>
      </c>
      <c r="K210" s="135">
        <f t="shared" si="150"/>
        <v>0</v>
      </c>
      <c r="L210" s="135">
        <f t="shared" si="150"/>
        <v>0</v>
      </c>
      <c r="M210" s="135">
        <f t="shared" si="150"/>
        <v>-277.21818751939696</v>
      </c>
      <c r="N210" s="135">
        <f t="shared" si="150"/>
        <v>-13.217347171752154</v>
      </c>
      <c r="O210" s="135">
        <f t="shared" si="150"/>
        <v>-11.516334817023278</v>
      </c>
      <c r="P210" s="135">
        <f t="shared" si="149"/>
        <v>-491.94052733101495</v>
      </c>
      <c r="Q210" s="209">
        <f t="shared" si="133"/>
        <v>-0.31086289246825588</v>
      </c>
    </row>
    <row r="211" spans="3:17">
      <c r="C211" s="713" t="s">
        <v>941</v>
      </c>
      <c r="D211" s="135">
        <f>IF(D112=0,0,-D$105*$G$30*D$44/1000)</f>
        <v>-0.8017139831261817</v>
      </c>
      <c r="E211" s="135">
        <f t="shared" ref="E211:O211" si="151">IF(E112=0,0,-E$105*$G$30*E$44/1000)</f>
        <v>-0.93214599869956849</v>
      </c>
      <c r="F211" s="135">
        <f t="shared" si="151"/>
        <v>-3.5204637709368289</v>
      </c>
      <c r="G211" s="135">
        <f t="shared" si="151"/>
        <v>-17.981317889667235</v>
      </c>
      <c r="H211" s="135">
        <f t="shared" si="151"/>
        <v>-69.471117878222103</v>
      </c>
      <c r="I211" s="135">
        <f t="shared" si="151"/>
        <v>0</v>
      </c>
      <c r="J211" s="135">
        <f t="shared" si="151"/>
        <v>0</v>
      </c>
      <c r="K211" s="135">
        <f t="shared" si="151"/>
        <v>0</v>
      </c>
      <c r="L211" s="135">
        <f t="shared" si="151"/>
        <v>0</v>
      </c>
      <c r="M211" s="135">
        <f t="shared" si="151"/>
        <v>-135.27123218627096</v>
      </c>
      <c r="N211" s="135">
        <f t="shared" si="151"/>
        <v>-6.4495293550374884</v>
      </c>
      <c r="O211" s="135">
        <f t="shared" si="151"/>
        <v>-5.6195043150240318</v>
      </c>
      <c r="P211" s="135">
        <f t="shared" si="149"/>
        <v>-240.04702537698441</v>
      </c>
      <c r="Q211" s="209">
        <f t="shared" si="133"/>
        <v>-0.15168848365054308</v>
      </c>
    </row>
    <row r="212" spans="3:17">
      <c r="C212" s="713" t="s">
        <v>942</v>
      </c>
      <c r="D212" s="135">
        <f>IF(D112=0,0,-D$105*$H$30*D$44/1000)</f>
        <v>-1.6429930719131363</v>
      </c>
      <c r="E212" s="135">
        <f t="shared" ref="E212:O212" si="152">IF(E112=0,0,-E$105*$H$30*E$44/1000)</f>
        <v>-1.9102940077245705</v>
      </c>
      <c r="F212" s="135">
        <f t="shared" si="152"/>
        <v>-7.2146647149848278</v>
      </c>
      <c r="G212" s="135">
        <f t="shared" si="152"/>
        <v>-36.850025493370005</v>
      </c>
      <c r="H212" s="135">
        <f t="shared" si="152"/>
        <v>-142.37068053484995</v>
      </c>
      <c r="I212" s="135">
        <f t="shared" si="152"/>
        <v>0</v>
      </c>
      <c r="J212" s="135">
        <f t="shared" si="152"/>
        <v>0</v>
      </c>
      <c r="K212" s="135">
        <f t="shared" si="152"/>
        <v>0</v>
      </c>
      <c r="L212" s="135">
        <f t="shared" si="152"/>
        <v>0</v>
      </c>
      <c r="M212" s="135">
        <f t="shared" si="152"/>
        <v>-277.21818751939696</v>
      </c>
      <c r="N212" s="135">
        <f t="shared" si="152"/>
        <v>-13.217347171752154</v>
      </c>
      <c r="O212" s="135">
        <f t="shared" si="152"/>
        <v>-11.516334817023278</v>
      </c>
      <c r="P212" s="135">
        <f t="shared" si="149"/>
        <v>-491.94052733101495</v>
      </c>
      <c r="Q212" s="209">
        <f t="shared" si="133"/>
        <v>-0.31086289246825588</v>
      </c>
    </row>
    <row r="213" spans="3:17">
      <c r="C213" s="713" t="s">
        <v>943</v>
      </c>
      <c r="D213" s="135">
        <f>IF(D112=0,0,-D$105*$I$30*D$44/1000)</f>
        <v>0</v>
      </c>
      <c r="E213" s="135">
        <f t="shared" ref="E213:O213" si="153">IF(E112=0,0,-E$105*$I$30*E$44/1000)</f>
        <v>0</v>
      </c>
      <c r="F213" s="135">
        <f t="shared" si="153"/>
        <v>0</v>
      </c>
      <c r="G213" s="135">
        <f t="shared" si="153"/>
        <v>0</v>
      </c>
      <c r="H213" s="135">
        <f t="shared" si="153"/>
        <v>0</v>
      </c>
      <c r="I213" s="135">
        <f t="shared" si="153"/>
        <v>0</v>
      </c>
      <c r="J213" s="135">
        <f t="shared" si="153"/>
        <v>0</v>
      </c>
      <c r="K213" s="135">
        <f t="shared" si="153"/>
        <v>0</v>
      </c>
      <c r="L213" s="135">
        <f t="shared" si="153"/>
        <v>0</v>
      </c>
      <c r="M213" s="135">
        <f t="shared" si="153"/>
        <v>0</v>
      </c>
      <c r="N213" s="135">
        <f t="shared" si="153"/>
        <v>0</v>
      </c>
      <c r="O213" s="135">
        <f t="shared" si="153"/>
        <v>0</v>
      </c>
      <c r="P213" s="135">
        <f t="shared" si="149"/>
        <v>0</v>
      </c>
      <c r="Q213" s="209">
        <f t="shared" si="133"/>
        <v>0</v>
      </c>
    </row>
    <row r="214" spans="3:17">
      <c r="C214" s="713" t="s">
        <v>944</v>
      </c>
      <c r="D214" s="135">
        <f>IF(D112=0,0,-D$105*$J$30*D$44/1000)</f>
        <v>-1.1942503777948004</v>
      </c>
      <c r="E214" s="135">
        <f t="shared" ref="E214:O214" si="154">IF(E112=0,0,-E$105*$J$30*E$44/1000)</f>
        <v>-1.3885447111275626</v>
      </c>
      <c r="F214" s="135">
        <f t="shared" si="154"/>
        <v>-5.2441584866214059</v>
      </c>
      <c r="G214" s="135">
        <f t="shared" si="154"/>
        <v>-26.785357540163648</v>
      </c>
      <c r="H214" s="135">
        <f t="shared" si="154"/>
        <v>-103.48567009942728</v>
      </c>
      <c r="I214" s="135">
        <f t="shared" si="154"/>
        <v>0</v>
      </c>
      <c r="J214" s="135">
        <f t="shared" si="154"/>
        <v>0</v>
      </c>
      <c r="K214" s="135">
        <f t="shared" si="154"/>
        <v>0</v>
      </c>
      <c r="L214" s="135">
        <f t="shared" si="154"/>
        <v>0</v>
      </c>
      <c r="M214" s="135">
        <f t="shared" si="154"/>
        <v>-201.50293439224737</v>
      </c>
      <c r="N214" s="135">
        <f t="shared" si="154"/>
        <v>-9.6073575252084709</v>
      </c>
      <c r="O214" s="135">
        <f t="shared" si="154"/>
        <v>-8.3709343886804888</v>
      </c>
      <c r="P214" s="135">
        <f t="shared" si="149"/>
        <v>-357.57920752127103</v>
      </c>
      <c r="Q214" s="209">
        <f t="shared" si="133"/>
        <v>-0.22595842497394694</v>
      </c>
    </row>
    <row r="215" spans="3:17">
      <c r="C215" s="713" t="s">
        <v>945</v>
      </c>
      <c r="D215" s="135">
        <f>IF(D112=0,0,-D$105*$K$30*D$44/1000)</f>
        <v>0</v>
      </c>
      <c r="E215" s="135">
        <f t="shared" ref="E215:O215" si="155">IF(E112=0,0,-E$105*$K$30*E$44/1000)</f>
        <v>0</v>
      </c>
      <c r="F215" s="135">
        <f t="shared" si="155"/>
        <v>0</v>
      </c>
      <c r="G215" s="135">
        <f t="shared" si="155"/>
        <v>0</v>
      </c>
      <c r="H215" s="135">
        <f t="shared" si="155"/>
        <v>0</v>
      </c>
      <c r="I215" s="135">
        <f t="shared" si="155"/>
        <v>0</v>
      </c>
      <c r="J215" s="135">
        <f t="shared" si="155"/>
        <v>0</v>
      </c>
      <c r="K215" s="135">
        <f t="shared" si="155"/>
        <v>0</v>
      </c>
      <c r="L215" s="135">
        <f t="shared" si="155"/>
        <v>0</v>
      </c>
      <c r="M215" s="135">
        <f t="shared" si="155"/>
        <v>0</v>
      </c>
      <c r="N215" s="135">
        <f t="shared" si="155"/>
        <v>0</v>
      </c>
      <c r="O215" s="135">
        <f t="shared" si="155"/>
        <v>0</v>
      </c>
      <c r="P215" s="135">
        <f t="shared" si="149"/>
        <v>0</v>
      </c>
      <c r="Q215" s="209">
        <f t="shared" si="133"/>
        <v>0</v>
      </c>
    </row>
    <row r="216" spans="3:17">
      <c r="C216" s="713" t="str">
        <f>CONCATENATE("Trans.Gains /",L13)</f>
        <v>Trans.Gains /wall 1</v>
      </c>
      <c r="D216" s="135">
        <f>IF(D112=0,0,-D$105*$L$30*D$44/1000)</f>
        <v>-0.23877888328606622</v>
      </c>
      <c r="E216" s="135">
        <f t="shared" ref="E216:O216" si="156">IF(E112=0,0,-E$105*$L$30*E$44/1000)</f>
        <v>-0.27762616757805331</v>
      </c>
      <c r="F216" s="135">
        <f t="shared" si="156"/>
        <v>-1.0485190798288044</v>
      </c>
      <c r="G216" s="135">
        <f t="shared" si="156"/>
        <v>-5.3554747654073847</v>
      </c>
      <c r="H216" s="135">
        <f t="shared" si="156"/>
        <v>-20.690964978448832</v>
      </c>
      <c r="I216" s="135">
        <f t="shared" si="156"/>
        <v>0</v>
      </c>
      <c r="J216" s="135">
        <f t="shared" si="156"/>
        <v>0</v>
      </c>
      <c r="K216" s="135">
        <f t="shared" si="156"/>
        <v>0</v>
      </c>
      <c r="L216" s="135">
        <f t="shared" si="156"/>
        <v>0</v>
      </c>
      <c r="M216" s="135">
        <f t="shared" si="156"/>
        <v>-40.288574781019236</v>
      </c>
      <c r="N216" s="135">
        <f t="shared" si="156"/>
        <v>-1.9208987862622475</v>
      </c>
      <c r="O216" s="135">
        <f t="shared" si="156"/>
        <v>-1.6736878652539109</v>
      </c>
      <c r="P216" s="135">
        <f t="shared" si="149"/>
        <v>-71.49452530708453</v>
      </c>
      <c r="Q216" s="209">
        <f t="shared" si="133"/>
        <v>-4.5178215043971265E-2</v>
      </c>
    </row>
    <row r="217" spans="3:17">
      <c r="C217" s="713" t="str">
        <f>CONCATENATE("Trans.Gains /",M13)</f>
        <v>Trans.Gains /wall 2</v>
      </c>
      <c r="D217" s="135">
        <f>IF(D112=0,0,-D$105*$M$30*D$44/1000)</f>
        <v>0</v>
      </c>
      <c r="E217" s="135">
        <f t="shared" ref="E217:O217" si="157">IF(E112=0,0,-E$105*$M$30*E$44/1000)</f>
        <v>0</v>
      </c>
      <c r="F217" s="135">
        <f t="shared" si="157"/>
        <v>0</v>
      </c>
      <c r="G217" s="135">
        <f t="shared" si="157"/>
        <v>0</v>
      </c>
      <c r="H217" s="135">
        <f t="shared" si="157"/>
        <v>0</v>
      </c>
      <c r="I217" s="135">
        <f t="shared" si="157"/>
        <v>0</v>
      </c>
      <c r="J217" s="135">
        <f t="shared" si="157"/>
        <v>0</v>
      </c>
      <c r="K217" s="135">
        <f t="shared" si="157"/>
        <v>0</v>
      </c>
      <c r="L217" s="135">
        <f t="shared" si="157"/>
        <v>0</v>
      </c>
      <c r="M217" s="135">
        <f t="shared" si="157"/>
        <v>0</v>
      </c>
      <c r="N217" s="135">
        <f t="shared" si="157"/>
        <v>0</v>
      </c>
      <c r="O217" s="135">
        <f t="shared" si="157"/>
        <v>0</v>
      </c>
      <c r="P217" s="135">
        <f t="shared" si="149"/>
        <v>0</v>
      </c>
      <c r="Q217" s="209">
        <f t="shared" si="133"/>
        <v>0</v>
      </c>
    </row>
    <row r="218" spans="3:17">
      <c r="C218" s="713" t="str">
        <f>CONCATENATE("Trans.Gains /",N13)</f>
        <v>Trans.Gains /wall 3</v>
      </c>
      <c r="D218" s="135">
        <f>IF(D112=0,0,-D$105*$N$30*D$44/1000)</f>
        <v>0</v>
      </c>
      <c r="E218" s="135">
        <f t="shared" ref="E218:O218" si="158">IF(E112=0,0,-E$105*$N$30*E$44/1000)</f>
        <v>0</v>
      </c>
      <c r="F218" s="135">
        <f t="shared" si="158"/>
        <v>0</v>
      </c>
      <c r="G218" s="135">
        <f t="shared" si="158"/>
        <v>0</v>
      </c>
      <c r="H218" s="135">
        <f t="shared" si="158"/>
        <v>0</v>
      </c>
      <c r="I218" s="135">
        <f t="shared" si="158"/>
        <v>0</v>
      </c>
      <c r="J218" s="135">
        <f t="shared" si="158"/>
        <v>0</v>
      </c>
      <c r="K218" s="135">
        <f t="shared" si="158"/>
        <v>0</v>
      </c>
      <c r="L218" s="135">
        <f t="shared" si="158"/>
        <v>0</v>
      </c>
      <c r="M218" s="135">
        <f t="shared" si="158"/>
        <v>0</v>
      </c>
      <c r="N218" s="135">
        <f t="shared" si="158"/>
        <v>0</v>
      </c>
      <c r="O218" s="135">
        <f t="shared" si="158"/>
        <v>0</v>
      </c>
      <c r="P218" s="135">
        <f t="shared" si="149"/>
        <v>0</v>
      </c>
      <c r="Q218" s="209">
        <f t="shared" si="133"/>
        <v>0</v>
      </c>
    </row>
    <row r="219" spans="3:17">
      <c r="C219" s="713" t="str">
        <f>CONCATENATE("Trans.Gains /",O13)</f>
        <v>Trans.Gains /wall 4</v>
      </c>
      <c r="D219" s="135">
        <f>IF(D112=0,0,-D$105*$O$30*D$44/1000)</f>
        <v>0</v>
      </c>
      <c r="E219" s="135">
        <f t="shared" ref="E219:O219" si="159">IF(E112=0,0,-E$105*$O$30*E$44/1000)</f>
        <v>0</v>
      </c>
      <c r="F219" s="135">
        <f t="shared" si="159"/>
        <v>0</v>
      </c>
      <c r="G219" s="135">
        <f t="shared" si="159"/>
        <v>0</v>
      </c>
      <c r="H219" s="135">
        <f t="shared" si="159"/>
        <v>0</v>
      </c>
      <c r="I219" s="135">
        <f t="shared" si="159"/>
        <v>0</v>
      </c>
      <c r="J219" s="135">
        <f t="shared" si="159"/>
        <v>0</v>
      </c>
      <c r="K219" s="135">
        <f t="shared" si="159"/>
        <v>0</v>
      </c>
      <c r="L219" s="135">
        <f t="shared" si="159"/>
        <v>0</v>
      </c>
      <c r="M219" s="135">
        <f t="shared" si="159"/>
        <v>0</v>
      </c>
      <c r="N219" s="135">
        <f t="shared" si="159"/>
        <v>0</v>
      </c>
      <c r="O219" s="135">
        <f t="shared" si="159"/>
        <v>0</v>
      </c>
      <c r="P219" s="135">
        <f t="shared" si="149"/>
        <v>0</v>
      </c>
      <c r="Q219" s="209">
        <f t="shared" si="133"/>
        <v>0</v>
      </c>
    </row>
    <row r="220" spans="3:17">
      <c r="C220" s="713" t="s">
        <v>946</v>
      </c>
      <c r="D220" s="135">
        <f>D142</f>
        <v>0</v>
      </c>
      <c r="E220" s="135">
        <f t="shared" ref="E220:O220" si="160">E142</f>
        <v>0</v>
      </c>
      <c r="F220" s="135">
        <f t="shared" si="160"/>
        <v>0</v>
      </c>
      <c r="G220" s="135">
        <f t="shared" si="160"/>
        <v>0</v>
      </c>
      <c r="H220" s="135">
        <f t="shared" si="160"/>
        <v>0</v>
      </c>
      <c r="I220" s="135">
        <f t="shared" si="160"/>
        <v>0</v>
      </c>
      <c r="J220" s="135">
        <f t="shared" si="160"/>
        <v>0</v>
      </c>
      <c r="K220" s="135">
        <f t="shared" si="160"/>
        <v>0</v>
      </c>
      <c r="L220" s="135">
        <f t="shared" si="160"/>
        <v>0</v>
      </c>
      <c r="M220" s="135">
        <f t="shared" si="160"/>
        <v>0</v>
      </c>
      <c r="N220" s="135">
        <f t="shared" si="160"/>
        <v>0</v>
      </c>
      <c r="O220" s="135">
        <f t="shared" si="160"/>
        <v>0</v>
      </c>
      <c r="P220" s="135">
        <f t="shared" si="149"/>
        <v>0</v>
      </c>
      <c r="Q220" s="209">
        <f t="shared" si="133"/>
        <v>0</v>
      </c>
    </row>
    <row r="221" spans="3:17">
      <c r="C221" s="712" t="s">
        <v>360</v>
      </c>
      <c r="D221" s="699">
        <f>SUM(D208:D219)</f>
        <v>-5.857379848480246</v>
      </c>
      <c r="E221" s="699">
        <f t="shared" ref="E221:O221" si="161">SUM(E208:E219)</f>
        <v>-6.8103255070268718</v>
      </c>
      <c r="F221" s="699">
        <f t="shared" si="161"/>
        <v>-25.720760749092072</v>
      </c>
      <c r="G221" s="699">
        <f t="shared" si="161"/>
        <v>-131.3727978715788</v>
      </c>
      <c r="H221" s="699">
        <f t="shared" si="161"/>
        <v>-507.5609687192507</v>
      </c>
      <c r="I221" s="699">
        <f t="shared" si="161"/>
        <v>0</v>
      </c>
      <c r="J221" s="699">
        <f t="shared" si="161"/>
        <v>0</v>
      </c>
      <c r="K221" s="699">
        <f t="shared" si="161"/>
        <v>0</v>
      </c>
      <c r="L221" s="699">
        <f t="shared" si="161"/>
        <v>0</v>
      </c>
      <c r="M221" s="699">
        <f t="shared" si="161"/>
        <v>-988.30132212157082</v>
      </c>
      <c r="N221" s="699">
        <f t="shared" si="161"/>
        <v>-47.120723938318299</v>
      </c>
      <c r="O221" s="699">
        <f t="shared" si="161"/>
        <v>-41.056501478144952</v>
      </c>
      <c r="P221" s="699">
        <f t="shared" si="149"/>
        <v>-1753.800780233463</v>
      </c>
      <c r="Q221" s="388">
        <f t="shared" si="133"/>
        <v>-1.1082469385361535</v>
      </c>
    </row>
    <row r="222" spans="3:17">
      <c r="C222" s="472" t="s">
        <v>915</v>
      </c>
      <c r="D222" s="699">
        <f>D221-D141</f>
        <v>0</v>
      </c>
      <c r="E222" s="699">
        <f t="shared" ref="E222:O222" si="162">E221-E141</f>
        <v>0</v>
      </c>
      <c r="F222" s="699">
        <f t="shared" si="162"/>
        <v>0</v>
      </c>
      <c r="G222" s="699">
        <f t="shared" si="162"/>
        <v>0</v>
      </c>
      <c r="H222" s="699">
        <f t="shared" si="162"/>
        <v>0</v>
      </c>
      <c r="I222" s="699">
        <f t="shared" si="162"/>
        <v>0</v>
      </c>
      <c r="J222" s="699">
        <f t="shared" si="162"/>
        <v>0</v>
      </c>
      <c r="K222" s="699">
        <f t="shared" si="162"/>
        <v>0</v>
      </c>
      <c r="L222" s="699">
        <f t="shared" si="162"/>
        <v>0</v>
      </c>
      <c r="M222" s="699">
        <f t="shared" si="162"/>
        <v>0</v>
      </c>
      <c r="N222" s="699">
        <f t="shared" si="162"/>
        <v>0</v>
      </c>
      <c r="O222" s="699">
        <f t="shared" si="162"/>
        <v>0</v>
      </c>
      <c r="P222" s="699"/>
      <c r="Q222" s="388"/>
    </row>
    <row r="223" spans="3:17" ht="15" thickBot="1"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701"/>
    </row>
    <row r="224" spans="3:17" ht="15">
      <c r="C224" s="709" t="s">
        <v>956</v>
      </c>
      <c r="D224" s="697" t="s">
        <v>832</v>
      </c>
      <c r="E224" s="698" t="s">
        <v>842</v>
      </c>
      <c r="F224" s="698" t="s">
        <v>833</v>
      </c>
      <c r="G224" s="698" t="s">
        <v>834</v>
      </c>
      <c r="H224" s="698" t="s">
        <v>835</v>
      </c>
      <c r="I224" s="698" t="s">
        <v>836</v>
      </c>
      <c r="J224" s="698" t="s">
        <v>837</v>
      </c>
      <c r="K224" s="698" t="s">
        <v>838</v>
      </c>
      <c r="L224" s="698" t="s">
        <v>839</v>
      </c>
      <c r="M224" s="698" t="s">
        <v>840</v>
      </c>
      <c r="N224" s="698" t="s">
        <v>841</v>
      </c>
      <c r="O224" s="702" t="s">
        <v>843</v>
      </c>
      <c r="P224" s="135" t="s">
        <v>918</v>
      </c>
      <c r="Q224" s="209" t="s">
        <v>917</v>
      </c>
    </row>
    <row r="225" spans="3:17">
      <c r="C225" s="713" t="s">
        <v>920</v>
      </c>
      <c r="D225" s="135">
        <f>IF(D$113=0,0,-D$106*$D$30*D$46/1000)</f>
        <v>0</v>
      </c>
      <c r="E225" s="135">
        <f t="shared" ref="E225:O225" si="163">IF(E113=0,0,-E$106*$D$30*E$46/1000)</f>
        <v>0</v>
      </c>
      <c r="F225" s="135">
        <f t="shared" si="163"/>
        <v>0</v>
      </c>
      <c r="G225" s="135">
        <f t="shared" si="163"/>
        <v>0</v>
      </c>
      <c r="H225" s="135">
        <f t="shared" si="163"/>
        <v>-378.75005259533452</v>
      </c>
      <c r="I225" s="135">
        <f t="shared" si="163"/>
        <v>-330.12086023778636</v>
      </c>
      <c r="J225" s="135">
        <f t="shared" si="163"/>
        <v>-265.46733521987795</v>
      </c>
      <c r="K225" s="135">
        <f t="shared" si="163"/>
        <v>-246.3194025290305</v>
      </c>
      <c r="L225" s="135">
        <f t="shared" si="163"/>
        <v>-249.53168986881806</v>
      </c>
      <c r="M225" s="135">
        <f t="shared" si="163"/>
        <v>0</v>
      </c>
      <c r="N225" s="135">
        <f t="shared" si="163"/>
        <v>0</v>
      </c>
      <c r="O225" s="135">
        <f t="shared" si="163"/>
        <v>0</v>
      </c>
      <c r="P225" s="135">
        <f>SUM(D225:O225)</f>
        <v>-1470.1893404508473</v>
      </c>
      <c r="Q225" s="209">
        <f t="shared" ref="Q225:Q253" si="164">P225/$D$3</f>
        <v>-0.92902959902107252</v>
      </c>
    </row>
    <row r="226" spans="3:17">
      <c r="C226" s="713" t="s">
        <v>921</v>
      </c>
      <c r="D226" s="135">
        <f>IF(D$113=0,0,-D$106*$E$30*D$46/1000)</f>
        <v>0</v>
      </c>
      <c r="E226" s="135">
        <f t="shared" ref="E226:O226" si="165">IF(E$113=0,0,-E$106*$E$30*E$46/1000)</f>
        <v>0</v>
      </c>
      <c r="F226" s="135">
        <f t="shared" si="165"/>
        <v>0</v>
      </c>
      <c r="G226" s="135">
        <f t="shared" si="165"/>
        <v>0</v>
      </c>
      <c r="H226" s="135">
        <f t="shared" si="165"/>
        <v>0</v>
      </c>
      <c r="I226" s="135">
        <f t="shared" si="165"/>
        <v>0</v>
      </c>
      <c r="J226" s="135">
        <f t="shared" si="165"/>
        <v>0</v>
      </c>
      <c r="K226" s="135">
        <f t="shared" si="165"/>
        <v>0</v>
      </c>
      <c r="L226" s="135">
        <f t="shared" si="165"/>
        <v>0</v>
      </c>
      <c r="M226" s="135">
        <f t="shared" si="165"/>
        <v>0</v>
      </c>
      <c r="N226" s="135">
        <f t="shared" si="165"/>
        <v>0</v>
      </c>
      <c r="O226" s="135">
        <f t="shared" si="165"/>
        <v>0</v>
      </c>
      <c r="P226" s="135">
        <f t="shared" ref="P226:P253" si="166">SUM(D226:O226)</f>
        <v>0</v>
      </c>
      <c r="Q226" s="209">
        <f t="shared" si="164"/>
        <v>0</v>
      </c>
    </row>
    <row r="227" spans="3:17">
      <c r="C227" s="713" t="s">
        <v>922</v>
      </c>
      <c r="D227" s="135">
        <f>IF(D$113=0,0,-D$106*$F$30*D$46/1000)</f>
        <v>0</v>
      </c>
      <c r="E227" s="135">
        <f t="shared" ref="E227:O227" si="167">IF(E$113=0,0,-E$106*$F$30*E$46/1000)</f>
        <v>0</v>
      </c>
      <c r="F227" s="135">
        <f t="shared" si="167"/>
        <v>0</v>
      </c>
      <c r="G227" s="135">
        <f t="shared" si="167"/>
        <v>0</v>
      </c>
      <c r="H227" s="135">
        <f t="shared" si="167"/>
        <v>-1848.456442253932</v>
      </c>
      <c r="I227" s="135">
        <f t="shared" si="167"/>
        <v>-1611.1259302738977</v>
      </c>
      <c r="J227" s="135">
        <f t="shared" si="167"/>
        <v>-1295.5900669390746</v>
      </c>
      <c r="K227" s="135">
        <f t="shared" si="167"/>
        <v>-1202.1402593530208</v>
      </c>
      <c r="L227" s="135">
        <f t="shared" si="167"/>
        <v>-1217.8175462257575</v>
      </c>
      <c r="M227" s="135">
        <f t="shared" si="167"/>
        <v>0</v>
      </c>
      <c r="N227" s="135">
        <f t="shared" si="167"/>
        <v>0</v>
      </c>
      <c r="O227" s="135">
        <f t="shared" si="167"/>
        <v>0</v>
      </c>
      <c r="P227" s="135">
        <f t="shared" si="166"/>
        <v>-7175.1302450456833</v>
      </c>
      <c r="Q227" s="209">
        <f t="shared" si="164"/>
        <v>-4.5340475482121221</v>
      </c>
    </row>
    <row r="228" spans="3:17">
      <c r="C228" s="713" t="s">
        <v>923</v>
      </c>
      <c r="D228" s="135">
        <f>IF(D$113=0,0,-D$106*$G$30*D$46/1000)</f>
        <v>0</v>
      </c>
      <c r="E228" s="135">
        <f t="shared" ref="E228:O228" si="168">IF(E$113=0,0,-E$106*$G$30*E$46/1000)</f>
        <v>0</v>
      </c>
      <c r="F228" s="135">
        <f t="shared" si="168"/>
        <v>0</v>
      </c>
      <c r="G228" s="135">
        <f t="shared" si="168"/>
        <v>0</v>
      </c>
      <c r="H228" s="135">
        <f t="shared" si="168"/>
        <v>-901.97177473734303</v>
      </c>
      <c r="I228" s="135">
        <f t="shared" si="168"/>
        <v>-786.16411046318194</v>
      </c>
      <c r="J228" s="135">
        <f t="shared" si="168"/>
        <v>-632.19540655455467</v>
      </c>
      <c r="K228" s="135">
        <f t="shared" si="168"/>
        <v>-586.59569055882503</v>
      </c>
      <c r="L228" s="135">
        <f t="shared" si="168"/>
        <v>-594.24557071852541</v>
      </c>
      <c r="M228" s="135">
        <f t="shared" si="168"/>
        <v>0</v>
      </c>
      <c r="N228" s="135">
        <f t="shared" si="168"/>
        <v>0</v>
      </c>
      <c r="O228" s="135">
        <f t="shared" si="168"/>
        <v>0</v>
      </c>
      <c r="P228" s="135">
        <f t="shared" si="166"/>
        <v>-3501.1725530324302</v>
      </c>
      <c r="Q228" s="209">
        <f t="shared" si="164"/>
        <v>-2.2124313131326572</v>
      </c>
    </row>
    <row r="229" spans="3:17">
      <c r="C229" s="713" t="s">
        <v>924</v>
      </c>
      <c r="D229" s="135">
        <f>IF(D$113=0,0,-D$106*$H$30*D$46/1000)</f>
        <v>0</v>
      </c>
      <c r="E229" s="135">
        <f t="shared" ref="E229:O229" si="169">IF(E$113=0,0,-E$106*$H$30*E$46/1000)</f>
        <v>0</v>
      </c>
      <c r="F229" s="135">
        <f t="shared" si="169"/>
        <v>0</v>
      </c>
      <c r="G229" s="135">
        <f t="shared" si="169"/>
        <v>0</v>
      </c>
      <c r="H229" s="135">
        <f t="shared" si="169"/>
        <v>-1848.456442253932</v>
      </c>
      <c r="I229" s="135">
        <f t="shared" si="169"/>
        <v>-1611.1259302738977</v>
      </c>
      <c r="J229" s="135">
        <f t="shared" si="169"/>
        <v>-1295.5900669390746</v>
      </c>
      <c r="K229" s="135">
        <f t="shared" si="169"/>
        <v>-1202.1402593530208</v>
      </c>
      <c r="L229" s="135">
        <f t="shared" si="169"/>
        <v>-1217.8175462257575</v>
      </c>
      <c r="M229" s="135">
        <f t="shared" si="169"/>
        <v>0</v>
      </c>
      <c r="N229" s="135">
        <f t="shared" si="169"/>
        <v>0</v>
      </c>
      <c r="O229" s="135">
        <f t="shared" si="169"/>
        <v>0</v>
      </c>
      <c r="P229" s="135">
        <f t="shared" si="166"/>
        <v>-7175.1302450456833</v>
      </c>
      <c r="Q229" s="209">
        <f t="shared" si="164"/>
        <v>-4.5340475482121221</v>
      </c>
    </row>
    <row r="230" spans="3:17">
      <c r="C230" s="713" t="s">
        <v>925</v>
      </c>
      <c r="D230" s="135">
        <f>IF(D$113=0,0,-D$106*$I$30*D$46/1000)</f>
        <v>0</v>
      </c>
      <c r="E230" s="135">
        <f t="shared" ref="E230:O230" si="170">IF(E$113=0,0,-E$106*$I$30*E$46/1000)</f>
        <v>0</v>
      </c>
      <c r="F230" s="135">
        <f t="shared" si="170"/>
        <v>0</v>
      </c>
      <c r="G230" s="135">
        <f t="shared" si="170"/>
        <v>0</v>
      </c>
      <c r="H230" s="135">
        <f t="shared" si="170"/>
        <v>0</v>
      </c>
      <c r="I230" s="135">
        <f t="shared" si="170"/>
        <v>0</v>
      </c>
      <c r="J230" s="135">
        <f t="shared" si="170"/>
        <v>0</v>
      </c>
      <c r="K230" s="135">
        <f t="shared" si="170"/>
        <v>0</v>
      </c>
      <c r="L230" s="135">
        <f t="shared" si="170"/>
        <v>0</v>
      </c>
      <c r="M230" s="135">
        <f t="shared" si="170"/>
        <v>0</v>
      </c>
      <c r="N230" s="135">
        <f t="shared" si="170"/>
        <v>0</v>
      </c>
      <c r="O230" s="135">
        <f t="shared" si="170"/>
        <v>0</v>
      </c>
      <c r="P230" s="135">
        <f t="shared" si="166"/>
        <v>0</v>
      </c>
      <c r="Q230" s="209">
        <f t="shared" si="164"/>
        <v>0</v>
      </c>
    </row>
    <row r="231" spans="3:17">
      <c r="C231" s="713" t="s">
        <v>926</v>
      </c>
      <c r="D231" s="135">
        <f>IF(D$113=0,0,-D$106*$J$30*D$46/1000)</f>
        <v>0</v>
      </c>
      <c r="E231" s="135">
        <f t="shared" ref="E231:O231" si="171">IF(E$113=0,0,-E$106*$J$30*E$46/1000)</f>
        <v>0</v>
      </c>
      <c r="F231" s="135">
        <f t="shared" si="171"/>
        <v>0</v>
      </c>
      <c r="G231" s="135">
        <f t="shared" si="171"/>
        <v>0</v>
      </c>
      <c r="H231" s="135">
        <f t="shared" si="171"/>
        <v>-1343.5965386807795</v>
      </c>
      <c r="I231" s="135">
        <f t="shared" si="171"/>
        <v>-1171.0869533151183</v>
      </c>
      <c r="J231" s="135">
        <f t="shared" si="171"/>
        <v>-941.73186324365918</v>
      </c>
      <c r="K231" s="135">
        <f t="shared" si="171"/>
        <v>-873.80554637578348</v>
      </c>
      <c r="L231" s="135">
        <f t="shared" si="171"/>
        <v>-885.20097225470215</v>
      </c>
      <c r="M231" s="135">
        <f t="shared" si="171"/>
        <v>0</v>
      </c>
      <c r="N231" s="135">
        <f t="shared" si="171"/>
        <v>0</v>
      </c>
      <c r="O231" s="135">
        <f t="shared" si="171"/>
        <v>0</v>
      </c>
      <c r="P231" s="135">
        <f t="shared" si="166"/>
        <v>-5215.421873870042</v>
      </c>
      <c r="Q231" s="209">
        <f t="shared" si="164"/>
        <v>-3.2956852283538969</v>
      </c>
    </row>
    <row r="232" spans="3:17">
      <c r="C232" s="713" t="s">
        <v>927</v>
      </c>
      <c r="D232" s="135">
        <f>IF(D$113=0,0,-D$106*$K$30*D$46/1000)</f>
        <v>0</v>
      </c>
      <c r="E232" s="135">
        <f t="shared" ref="E232:O232" si="172">IF(E$113=0,0,-E$106*$K$30*E$46/1000)</f>
        <v>0</v>
      </c>
      <c r="F232" s="135">
        <f t="shared" si="172"/>
        <v>0</v>
      </c>
      <c r="G232" s="135">
        <f t="shared" si="172"/>
        <v>0</v>
      </c>
      <c r="H232" s="135">
        <f t="shared" si="172"/>
        <v>0</v>
      </c>
      <c r="I232" s="135">
        <f t="shared" si="172"/>
        <v>0</v>
      </c>
      <c r="J232" s="135">
        <f t="shared" si="172"/>
        <v>0</v>
      </c>
      <c r="K232" s="135">
        <f t="shared" si="172"/>
        <v>0</v>
      </c>
      <c r="L232" s="135">
        <f t="shared" si="172"/>
        <v>0</v>
      </c>
      <c r="M232" s="135">
        <f t="shared" si="172"/>
        <v>0</v>
      </c>
      <c r="N232" s="135">
        <f t="shared" si="172"/>
        <v>0</v>
      </c>
      <c r="O232" s="135">
        <f t="shared" si="172"/>
        <v>0</v>
      </c>
      <c r="P232" s="135">
        <f t="shared" si="166"/>
        <v>0</v>
      </c>
      <c r="Q232" s="209">
        <f t="shared" si="164"/>
        <v>0</v>
      </c>
    </row>
    <row r="233" spans="3:17">
      <c r="C233" s="713" t="str">
        <f>CONCATENATE("Trans.Loss /",L13)</f>
        <v>Trans.Loss /wall 1</v>
      </c>
      <c r="D233" s="135">
        <f>IF(D$113=0,0,-D$106*$L$30*D$46/1000)</f>
        <v>0</v>
      </c>
      <c r="E233" s="135">
        <f t="shared" ref="E233:O233" si="173">IF(E$113=0,0,-E$106*$L$30*E$46/1000)</f>
        <v>0</v>
      </c>
      <c r="F233" s="135">
        <f t="shared" si="173"/>
        <v>0</v>
      </c>
      <c r="G233" s="135">
        <f t="shared" si="173"/>
        <v>0</v>
      </c>
      <c r="H233" s="135">
        <f t="shared" si="173"/>
        <v>-268.63921256246408</v>
      </c>
      <c r="I233" s="135">
        <f t="shared" si="173"/>
        <v>-234.14757922020314</v>
      </c>
      <c r="J233" s="135">
        <f t="shared" si="173"/>
        <v>-188.29023364049078</v>
      </c>
      <c r="K233" s="135">
        <f t="shared" si="173"/>
        <v>-174.70901952574533</v>
      </c>
      <c r="L233" s="135">
        <f t="shared" si="173"/>
        <v>-176.98742539149157</v>
      </c>
      <c r="M233" s="135">
        <f t="shared" si="173"/>
        <v>0</v>
      </c>
      <c r="N233" s="135">
        <f t="shared" si="173"/>
        <v>0</v>
      </c>
      <c r="O233" s="135">
        <f t="shared" si="173"/>
        <v>0</v>
      </c>
      <c r="P233" s="135">
        <f t="shared" si="166"/>
        <v>-1042.7734703403949</v>
      </c>
      <c r="Q233" s="209">
        <f t="shared" si="164"/>
        <v>-0.65894058157370927</v>
      </c>
    </row>
    <row r="234" spans="3:17">
      <c r="C234" s="713" t="str">
        <f>CONCATENATE("Trans.Loss /",M13)</f>
        <v>Trans.Loss /wall 2</v>
      </c>
      <c r="D234" s="135">
        <f>IF(D$113=0,0,-D$106*$M$30*D$46/1000)</f>
        <v>0</v>
      </c>
      <c r="E234" s="135">
        <f t="shared" ref="E234:O234" si="174">IF(E$113=0,0,-E$106*$M$30*E$46/1000)</f>
        <v>0</v>
      </c>
      <c r="F234" s="135">
        <f t="shared" si="174"/>
        <v>0</v>
      </c>
      <c r="G234" s="135">
        <f t="shared" si="174"/>
        <v>0</v>
      </c>
      <c r="H234" s="135">
        <f t="shared" si="174"/>
        <v>0</v>
      </c>
      <c r="I234" s="135">
        <f t="shared" si="174"/>
        <v>0</v>
      </c>
      <c r="J234" s="135">
        <f t="shared" si="174"/>
        <v>0</v>
      </c>
      <c r="K234" s="135">
        <f t="shared" si="174"/>
        <v>0</v>
      </c>
      <c r="L234" s="135">
        <f t="shared" si="174"/>
        <v>0</v>
      </c>
      <c r="M234" s="135">
        <f t="shared" si="174"/>
        <v>0</v>
      </c>
      <c r="N234" s="135">
        <f t="shared" si="174"/>
        <v>0</v>
      </c>
      <c r="O234" s="135">
        <f t="shared" si="174"/>
        <v>0</v>
      </c>
      <c r="P234" s="135">
        <f t="shared" si="166"/>
        <v>0</v>
      </c>
      <c r="Q234" s="209">
        <f t="shared" si="164"/>
        <v>0</v>
      </c>
    </row>
    <row r="235" spans="3:17">
      <c r="C235" s="713" t="str">
        <f>CONCATENATE("Trans.Loss /",N13)</f>
        <v>Trans.Loss /wall 3</v>
      </c>
      <c r="D235" s="135">
        <f>IF(D$113=0,0,-D$106*$N$30*D$46/1000)</f>
        <v>0</v>
      </c>
      <c r="E235" s="135">
        <f t="shared" ref="E235:O235" si="175">IF(E$113=0,0,-E$106*$N$30*E$46/1000)</f>
        <v>0</v>
      </c>
      <c r="F235" s="135">
        <f t="shared" si="175"/>
        <v>0</v>
      </c>
      <c r="G235" s="135">
        <f t="shared" si="175"/>
        <v>0</v>
      </c>
      <c r="H235" s="135">
        <f t="shared" si="175"/>
        <v>0</v>
      </c>
      <c r="I235" s="135">
        <f t="shared" si="175"/>
        <v>0</v>
      </c>
      <c r="J235" s="135">
        <f t="shared" si="175"/>
        <v>0</v>
      </c>
      <c r="K235" s="135">
        <f t="shared" si="175"/>
        <v>0</v>
      </c>
      <c r="L235" s="135">
        <f t="shared" si="175"/>
        <v>0</v>
      </c>
      <c r="M235" s="135">
        <f t="shared" si="175"/>
        <v>0</v>
      </c>
      <c r="N235" s="135">
        <f t="shared" si="175"/>
        <v>0</v>
      </c>
      <c r="O235" s="135">
        <f t="shared" si="175"/>
        <v>0</v>
      </c>
      <c r="P235" s="135">
        <f t="shared" si="166"/>
        <v>0</v>
      </c>
      <c r="Q235" s="209">
        <f t="shared" si="164"/>
        <v>0</v>
      </c>
    </row>
    <row r="236" spans="3:17">
      <c r="C236" s="713" t="str">
        <f>CONCATENATE("Trans.Loss /",O13)</f>
        <v>Trans.Loss /wall 4</v>
      </c>
      <c r="D236" s="135">
        <f>IF(D$113=0,0,-D$106*$O$30*D$46/1000)</f>
        <v>0</v>
      </c>
      <c r="E236" s="135">
        <f t="shared" ref="E236:O236" si="176">IF(E$113=0,0,-E$106*$O$30*E$46/1000)</f>
        <v>0</v>
      </c>
      <c r="F236" s="135">
        <f t="shared" si="176"/>
        <v>0</v>
      </c>
      <c r="G236" s="135">
        <f t="shared" si="176"/>
        <v>0</v>
      </c>
      <c r="H236" s="135">
        <f t="shared" si="176"/>
        <v>0</v>
      </c>
      <c r="I236" s="135">
        <f t="shared" si="176"/>
        <v>0</v>
      </c>
      <c r="J236" s="135">
        <f t="shared" si="176"/>
        <v>0</v>
      </c>
      <c r="K236" s="135">
        <f t="shared" si="176"/>
        <v>0</v>
      </c>
      <c r="L236" s="135">
        <f t="shared" si="176"/>
        <v>0</v>
      </c>
      <c r="M236" s="135">
        <f t="shared" si="176"/>
        <v>0</v>
      </c>
      <c r="N236" s="135">
        <f t="shared" si="176"/>
        <v>0</v>
      </c>
      <c r="O236" s="135">
        <f t="shared" si="176"/>
        <v>0</v>
      </c>
      <c r="P236" s="135">
        <f t="shared" si="166"/>
        <v>0</v>
      </c>
      <c r="Q236" s="209">
        <f t="shared" si="164"/>
        <v>0</v>
      </c>
    </row>
    <row r="237" spans="3:17">
      <c r="C237" s="713" t="s">
        <v>929</v>
      </c>
      <c r="D237" s="135">
        <f>D150</f>
        <v>0</v>
      </c>
      <c r="E237" s="135">
        <f t="shared" ref="E237:O237" si="177">E150</f>
        <v>0</v>
      </c>
      <c r="F237" s="135">
        <f t="shared" si="177"/>
        <v>0</v>
      </c>
      <c r="G237" s="135">
        <f t="shared" si="177"/>
        <v>0</v>
      </c>
      <c r="H237" s="135">
        <f t="shared" si="177"/>
        <v>-943.83862155643749</v>
      </c>
      <c r="I237" s="135">
        <f t="shared" si="177"/>
        <v>-896.45249221035249</v>
      </c>
      <c r="J237" s="135">
        <f t="shared" si="177"/>
        <v>-1147.1140878487124</v>
      </c>
      <c r="K237" s="135">
        <f t="shared" si="177"/>
        <v>-1380.4978000766432</v>
      </c>
      <c r="L237" s="135">
        <f t="shared" si="177"/>
        <v>-1370.0346345769597</v>
      </c>
      <c r="M237" s="135">
        <f t="shared" si="177"/>
        <v>0</v>
      </c>
      <c r="N237" s="135">
        <f t="shared" si="177"/>
        <v>0</v>
      </c>
      <c r="O237" s="135">
        <f t="shared" si="177"/>
        <v>0</v>
      </c>
      <c r="P237" s="135">
        <f t="shared" si="166"/>
        <v>-5737.9376362691055</v>
      </c>
      <c r="Q237" s="209">
        <f t="shared" si="164"/>
        <v>-3.6258689644670494</v>
      </c>
    </row>
    <row r="238" spans="3:17">
      <c r="C238" s="712" t="s">
        <v>360</v>
      </c>
      <c r="D238" s="699">
        <f>SUM(D225:D236)</f>
        <v>0</v>
      </c>
      <c r="E238" s="699">
        <f t="shared" ref="E238:O238" si="178">SUM(E225:E236)</f>
        <v>0</v>
      </c>
      <c r="F238" s="699">
        <f t="shared" si="178"/>
        <v>0</v>
      </c>
      <c r="G238" s="699">
        <f t="shared" si="178"/>
        <v>0</v>
      </c>
      <c r="H238" s="699">
        <f t="shared" si="178"/>
        <v>-6589.8704630837847</v>
      </c>
      <c r="I238" s="699">
        <f t="shared" si="178"/>
        <v>-5743.7713637840852</v>
      </c>
      <c r="J238" s="699">
        <f t="shared" si="178"/>
        <v>-4618.8649725367313</v>
      </c>
      <c r="K238" s="699">
        <f t="shared" si="178"/>
        <v>-4285.710177695426</v>
      </c>
      <c r="L238" s="699">
        <f t="shared" si="178"/>
        <v>-4341.6007506850519</v>
      </c>
      <c r="M238" s="699">
        <f t="shared" si="178"/>
        <v>0</v>
      </c>
      <c r="N238" s="699">
        <f t="shared" si="178"/>
        <v>0</v>
      </c>
      <c r="O238" s="699">
        <f t="shared" si="178"/>
        <v>0</v>
      </c>
      <c r="P238" s="699">
        <f t="shared" si="166"/>
        <v>-25579.817727785077</v>
      </c>
      <c r="Q238" s="388">
        <f t="shared" si="164"/>
        <v>-16.164181818505579</v>
      </c>
    </row>
    <row r="239" spans="3:17">
      <c r="C239" s="711" t="s">
        <v>915</v>
      </c>
      <c r="D239" s="699">
        <f>D238-D149</f>
        <v>0</v>
      </c>
      <c r="E239" s="699">
        <f t="shared" ref="E239:O239" si="179">E238-E149</f>
        <v>0</v>
      </c>
      <c r="F239" s="699">
        <f t="shared" si="179"/>
        <v>0</v>
      </c>
      <c r="G239" s="699">
        <f t="shared" si="179"/>
        <v>0</v>
      </c>
      <c r="H239" s="699">
        <f t="shared" si="179"/>
        <v>0</v>
      </c>
      <c r="I239" s="699">
        <f t="shared" si="179"/>
        <v>0</v>
      </c>
      <c r="J239" s="699">
        <f t="shared" si="179"/>
        <v>0</v>
      </c>
      <c r="K239" s="699">
        <f t="shared" si="179"/>
        <v>0</v>
      </c>
      <c r="L239" s="699">
        <f t="shared" si="179"/>
        <v>0</v>
      </c>
      <c r="M239" s="699">
        <f t="shared" si="179"/>
        <v>0</v>
      </c>
      <c r="N239" s="699">
        <f t="shared" si="179"/>
        <v>0</v>
      </c>
      <c r="O239" s="699">
        <f t="shared" si="179"/>
        <v>0</v>
      </c>
      <c r="P239" s="699"/>
      <c r="Q239" s="388">
        <f t="shared" si="164"/>
        <v>0</v>
      </c>
    </row>
    <row r="240" spans="3:17">
      <c r="C240" s="713" t="s">
        <v>938</v>
      </c>
      <c r="D240" s="135">
        <f>IF(D$113=0,0,$D$30*D$45/1000)</f>
        <v>0</v>
      </c>
      <c r="E240" s="135">
        <f t="shared" ref="E240:N240" si="180">IF(E$113=0,0,$D$30*E$45/1000)</f>
        <v>0</v>
      </c>
      <c r="F240" s="135">
        <f t="shared" si="180"/>
        <v>0</v>
      </c>
      <c r="G240" s="135">
        <f t="shared" si="180"/>
        <v>0</v>
      </c>
      <c r="H240" s="135">
        <f t="shared" si="180"/>
        <v>0</v>
      </c>
      <c r="I240" s="135">
        <f t="shared" si="180"/>
        <v>4.2747900000000003</v>
      </c>
      <c r="J240" s="135">
        <f t="shared" si="180"/>
        <v>47.665800000000004</v>
      </c>
      <c r="K240" s="135">
        <f t="shared" si="180"/>
        <v>56.934150000000031</v>
      </c>
      <c r="L240" s="135">
        <f t="shared" si="180"/>
        <v>25.573080000000004</v>
      </c>
      <c r="M240" s="135">
        <f t="shared" si="180"/>
        <v>0</v>
      </c>
      <c r="N240" s="135">
        <f t="shared" si="180"/>
        <v>0</v>
      </c>
      <c r="O240" s="135">
        <f>IF(O$113=0,0,$D$30*O$45/1000)</f>
        <v>0</v>
      </c>
      <c r="P240" s="135">
        <f t="shared" si="166"/>
        <v>134.44782000000004</v>
      </c>
      <c r="Q240" s="209">
        <f t="shared" si="164"/>
        <v>8.4959127962085337E-2</v>
      </c>
    </row>
    <row r="241" spans="3:17">
      <c r="C241" s="713" t="s">
        <v>939</v>
      </c>
      <c r="D241" s="135">
        <f>IF(D$113=0,0,$E$30*D$45/1000)</f>
        <v>0</v>
      </c>
      <c r="E241" s="135">
        <f t="shared" ref="E241:O241" si="181">IF(E$113=0,0,$E$30*E$45/1000)</f>
        <v>0</v>
      </c>
      <c r="F241" s="135">
        <f t="shared" si="181"/>
        <v>0</v>
      </c>
      <c r="G241" s="135">
        <f t="shared" si="181"/>
        <v>0</v>
      </c>
      <c r="H241" s="135">
        <f t="shared" si="181"/>
        <v>0</v>
      </c>
      <c r="I241" s="135">
        <f t="shared" si="181"/>
        <v>0</v>
      </c>
      <c r="J241" s="135">
        <f t="shared" si="181"/>
        <v>0</v>
      </c>
      <c r="K241" s="135">
        <f t="shared" si="181"/>
        <v>0</v>
      </c>
      <c r="L241" s="135">
        <f t="shared" si="181"/>
        <v>0</v>
      </c>
      <c r="M241" s="135">
        <f t="shared" si="181"/>
        <v>0</v>
      </c>
      <c r="N241" s="135">
        <f t="shared" si="181"/>
        <v>0</v>
      </c>
      <c r="O241" s="135">
        <f t="shared" si="181"/>
        <v>0</v>
      </c>
      <c r="P241" s="135">
        <f t="shared" si="166"/>
        <v>0</v>
      </c>
      <c r="Q241" s="209">
        <f t="shared" si="164"/>
        <v>0</v>
      </c>
    </row>
    <row r="242" spans="3:17">
      <c r="C242" s="713" t="s">
        <v>940</v>
      </c>
      <c r="D242" s="135">
        <f>IF(D$113=0,0,$F$30*D$45/1000)</f>
        <v>0</v>
      </c>
      <c r="E242" s="135">
        <f t="shared" ref="E242:O242" si="182">IF(E$113=0,0,$F$30*E$45/1000)</f>
        <v>0</v>
      </c>
      <c r="F242" s="135">
        <f t="shared" si="182"/>
        <v>0</v>
      </c>
      <c r="G242" s="135">
        <f t="shared" si="182"/>
        <v>0</v>
      </c>
      <c r="H242" s="135">
        <f t="shared" si="182"/>
        <v>0</v>
      </c>
      <c r="I242" s="135">
        <f t="shared" si="182"/>
        <v>20.862738000000004</v>
      </c>
      <c r="J242" s="135">
        <f t="shared" si="182"/>
        <v>232.62876000000003</v>
      </c>
      <c r="K242" s="135">
        <f t="shared" si="182"/>
        <v>277.86213000000021</v>
      </c>
      <c r="L242" s="135">
        <f t="shared" si="182"/>
        <v>124.80717600000004</v>
      </c>
      <c r="M242" s="135">
        <f t="shared" si="182"/>
        <v>0</v>
      </c>
      <c r="N242" s="135">
        <f t="shared" si="182"/>
        <v>0</v>
      </c>
      <c r="O242" s="135">
        <f t="shared" si="182"/>
        <v>0</v>
      </c>
      <c r="P242" s="135">
        <f t="shared" si="166"/>
        <v>656.16080400000033</v>
      </c>
      <c r="Q242" s="209">
        <f t="shared" si="164"/>
        <v>0.41463557914691962</v>
      </c>
    </row>
    <row r="243" spans="3:17">
      <c r="C243" s="713" t="s">
        <v>941</v>
      </c>
      <c r="D243" s="135">
        <f>IF(D$113=0,0,$G$30*D$45/1000)</f>
        <v>0</v>
      </c>
      <c r="E243" s="135">
        <f t="shared" ref="E243:O243" si="183">IF(E$113=0,0,$G$30*E$45/1000)</f>
        <v>0</v>
      </c>
      <c r="F243" s="135">
        <f t="shared" si="183"/>
        <v>0</v>
      </c>
      <c r="G243" s="135">
        <f t="shared" si="183"/>
        <v>0</v>
      </c>
      <c r="H243" s="135">
        <f t="shared" si="183"/>
        <v>0</v>
      </c>
      <c r="I243" s="135">
        <f t="shared" si="183"/>
        <v>10.18017</v>
      </c>
      <c r="J243" s="135">
        <f t="shared" si="183"/>
        <v>113.51339999999999</v>
      </c>
      <c r="K243" s="135">
        <f t="shared" si="183"/>
        <v>135.58545000000007</v>
      </c>
      <c r="L243" s="135">
        <f t="shared" si="183"/>
        <v>60.900840000000002</v>
      </c>
      <c r="M243" s="135">
        <f t="shared" si="183"/>
        <v>0</v>
      </c>
      <c r="N243" s="135">
        <f t="shared" si="183"/>
        <v>0</v>
      </c>
      <c r="O243" s="135">
        <f t="shared" si="183"/>
        <v>0</v>
      </c>
      <c r="P243" s="135">
        <f t="shared" si="166"/>
        <v>320.17986000000008</v>
      </c>
      <c r="Q243" s="209">
        <f t="shared" si="164"/>
        <v>0.20232534597156404</v>
      </c>
    </row>
    <row r="244" spans="3:17">
      <c r="C244" s="713" t="s">
        <v>942</v>
      </c>
      <c r="D244" s="135">
        <f>IF(D$113=0,0,$H$30*D$45/1000)</f>
        <v>0</v>
      </c>
      <c r="E244" s="135">
        <f t="shared" ref="E244:O244" si="184">IF(E$113=0,0,$H$30*E$45/1000)</f>
        <v>0</v>
      </c>
      <c r="F244" s="135">
        <f t="shared" si="184"/>
        <v>0</v>
      </c>
      <c r="G244" s="135">
        <f t="shared" si="184"/>
        <v>0</v>
      </c>
      <c r="H244" s="135">
        <f t="shared" si="184"/>
        <v>0</v>
      </c>
      <c r="I244" s="135">
        <f t="shared" si="184"/>
        <v>20.862738000000004</v>
      </c>
      <c r="J244" s="135">
        <f t="shared" si="184"/>
        <v>232.62876000000003</v>
      </c>
      <c r="K244" s="135">
        <f t="shared" si="184"/>
        <v>277.86213000000021</v>
      </c>
      <c r="L244" s="135">
        <f t="shared" si="184"/>
        <v>124.80717600000004</v>
      </c>
      <c r="M244" s="135">
        <f t="shared" si="184"/>
        <v>0</v>
      </c>
      <c r="N244" s="135">
        <f t="shared" si="184"/>
        <v>0</v>
      </c>
      <c r="O244" s="135">
        <f t="shared" si="184"/>
        <v>0</v>
      </c>
      <c r="P244" s="135">
        <f t="shared" si="166"/>
        <v>656.16080400000033</v>
      </c>
      <c r="Q244" s="209">
        <f t="shared" si="164"/>
        <v>0.41463557914691962</v>
      </c>
    </row>
    <row r="245" spans="3:17">
      <c r="C245" s="713" t="s">
        <v>943</v>
      </c>
      <c r="D245" s="135">
        <f>IF(D$113=0,0,$I$30*D$45/1000)</f>
        <v>0</v>
      </c>
      <c r="E245" s="135">
        <f t="shared" ref="E245:O245" si="185">IF(E$113=0,0,$I$30*E$45/1000)</f>
        <v>0</v>
      </c>
      <c r="F245" s="135">
        <f t="shared" si="185"/>
        <v>0</v>
      </c>
      <c r="G245" s="135">
        <f t="shared" si="185"/>
        <v>0</v>
      </c>
      <c r="H245" s="135">
        <f t="shared" si="185"/>
        <v>0</v>
      </c>
      <c r="I245" s="135">
        <f t="shared" si="185"/>
        <v>0</v>
      </c>
      <c r="J245" s="135">
        <f t="shared" si="185"/>
        <v>0</v>
      </c>
      <c r="K245" s="135">
        <f t="shared" si="185"/>
        <v>0</v>
      </c>
      <c r="L245" s="135">
        <f t="shared" si="185"/>
        <v>0</v>
      </c>
      <c r="M245" s="135">
        <f t="shared" si="185"/>
        <v>0</v>
      </c>
      <c r="N245" s="135">
        <f t="shared" si="185"/>
        <v>0</v>
      </c>
      <c r="O245" s="135">
        <f t="shared" si="185"/>
        <v>0</v>
      </c>
      <c r="P245" s="135">
        <f t="shared" si="166"/>
        <v>0</v>
      </c>
      <c r="Q245" s="209">
        <f t="shared" si="164"/>
        <v>0</v>
      </c>
    </row>
    <row r="246" spans="3:17">
      <c r="C246" s="713" t="s">
        <v>944</v>
      </c>
      <c r="D246" s="135">
        <f>IF(D$113=0,0,$J$30*D$45/1000)</f>
        <v>0</v>
      </c>
      <c r="E246" s="135">
        <f t="shared" ref="E246:O246" si="186">IF(E$113=0,0,$J$30*E$45/1000)</f>
        <v>0</v>
      </c>
      <c r="F246" s="135">
        <f t="shared" si="186"/>
        <v>0</v>
      </c>
      <c r="G246" s="135">
        <f t="shared" si="186"/>
        <v>0</v>
      </c>
      <c r="H246" s="135">
        <f t="shared" si="186"/>
        <v>0</v>
      </c>
      <c r="I246" s="135">
        <f t="shared" si="186"/>
        <v>15.1646</v>
      </c>
      <c r="J246" s="135">
        <f t="shared" si="186"/>
        <v>169.09200000000001</v>
      </c>
      <c r="K246" s="135">
        <f t="shared" si="186"/>
        <v>201.97100000000012</v>
      </c>
      <c r="L246" s="135">
        <f t="shared" si="186"/>
        <v>90.719200000000015</v>
      </c>
      <c r="M246" s="135">
        <f t="shared" si="186"/>
        <v>0</v>
      </c>
      <c r="N246" s="135">
        <f t="shared" si="186"/>
        <v>0</v>
      </c>
      <c r="O246" s="135">
        <f t="shared" si="186"/>
        <v>0</v>
      </c>
      <c r="P246" s="135">
        <f t="shared" si="166"/>
        <v>476.94680000000017</v>
      </c>
      <c r="Q246" s="209">
        <f t="shared" si="164"/>
        <v>0.30138818325434452</v>
      </c>
    </row>
    <row r="247" spans="3:17">
      <c r="C247" s="713" t="s">
        <v>945</v>
      </c>
      <c r="D247" s="135">
        <f>IF(D$113=0,0,$K$30*D$45/1000)</f>
        <v>0</v>
      </c>
      <c r="E247" s="135">
        <f t="shared" ref="E247:O247" si="187">IF(E$113=0,0,$K$30*E$45/1000)</f>
        <v>0</v>
      </c>
      <c r="F247" s="135">
        <f t="shared" si="187"/>
        <v>0</v>
      </c>
      <c r="G247" s="135">
        <f t="shared" si="187"/>
        <v>0</v>
      </c>
      <c r="H247" s="135">
        <f t="shared" si="187"/>
        <v>0</v>
      </c>
      <c r="I247" s="135">
        <f t="shared" si="187"/>
        <v>0</v>
      </c>
      <c r="J247" s="135">
        <f t="shared" si="187"/>
        <v>0</v>
      </c>
      <c r="K247" s="135">
        <f t="shared" si="187"/>
        <v>0</v>
      </c>
      <c r="L247" s="135">
        <f t="shared" si="187"/>
        <v>0</v>
      </c>
      <c r="M247" s="135">
        <f t="shared" si="187"/>
        <v>0</v>
      </c>
      <c r="N247" s="135">
        <f t="shared" si="187"/>
        <v>0</v>
      </c>
      <c r="O247" s="135">
        <f t="shared" si="187"/>
        <v>0</v>
      </c>
      <c r="P247" s="135">
        <f t="shared" si="166"/>
        <v>0</v>
      </c>
      <c r="Q247" s="209">
        <f t="shared" si="164"/>
        <v>0</v>
      </c>
    </row>
    <row r="248" spans="3:17">
      <c r="C248" s="713" t="str">
        <f>CONCATENATE("Trans.Gains /",L13)</f>
        <v>Trans.Gains /wall 1</v>
      </c>
      <c r="D248" s="135">
        <f>IF(D$113=0,0,$L$30*D$45/1000)</f>
        <v>0</v>
      </c>
      <c r="E248" s="135">
        <f t="shared" ref="E248:O248" si="188">IF(E$113=0,0,$L$30*E$45/1000)</f>
        <v>0</v>
      </c>
      <c r="F248" s="135">
        <f t="shared" si="188"/>
        <v>0</v>
      </c>
      <c r="G248" s="135">
        <f t="shared" si="188"/>
        <v>0</v>
      </c>
      <c r="H248" s="135">
        <f t="shared" si="188"/>
        <v>0</v>
      </c>
      <c r="I248" s="135">
        <f t="shared" si="188"/>
        <v>3.032016</v>
      </c>
      <c r="J248" s="135">
        <f t="shared" si="188"/>
        <v>33.808320000000002</v>
      </c>
      <c r="K248" s="135">
        <f t="shared" si="188"/>
        <v>40.382160000000027</v>
      </c>
      <c r="L248" s="135">
        <f t="shared" si="188"/>
        <v>18.138432000000002</v>
      </c>
      <c r="M248" s="135">
        <f t="shared" si="188"/>
        <v>0</v>
      </c>
      <c r="N248" s="135">
        <f t="shared" si="188"/>
        <v>0</v>
      </c>
      <c r="O248" s="135">
        <f t="shared" si="188"/>
        <v>0</v>
      </c>
      <c r="P248" s="135">
        <f t="shared" si="166"/>
        <v>95.36092800000003</v>
      </c>
      <c r="Q248" s="209">
        <f t="shared" si="164"/>
        <v>6.0259670142180116E-2</v>
      </c>
    </row>
    <row r="249" spans="3:17">
      <c r="C249" s="713" t="str">
        <f>CONCATENATE("Trans.Gains /",M13)</f>
        <v>Trans.Gains /wall 2</v>
      </c>
      <c r="D249" s="135">
        <f>IF(D$113=0,0,$M$30*D$45/1000)</f>
        <v>0</v>
      </c>
      <c r="E249" s="135">
        <f t="shared" ref="E249:O249" si="189">IF(E$113=0,0,$M$30*E$45/1000)</f>
        <v>0</v>
      </c>
      <c r="F249" s="135">
        <f t="shared" si="189"/>
        <v>0</v>
      </c>
      <c r="G249" s="135">
        <f t="shared" si="189"/>
        <v>0</v>
      </c>
      <c r="H249" s="135">
        <f t="shared" si="189"/>
        <v>0</v>
      </c>
      <c r="I249" s="135">
        <f t="shared" si="189"/>
        <v>0</v>
      </c>
      <c r="J249" s="135">
        <f t="shared" si="189"/>
        <v>0</v>
      </c>
      <c r="K249" s="135">
        <f t="shared" si="189"/>
        <v>0</v>
      </c>
      <c r="L249" s="135">
        <f t="shared" si="189"/>
        <v>0</v>
      </c>
      <c r="M249" s="135">
        <f t="shared" si="189"/>
        <v>0</v>
      </c>
      <c r="N249" s="135">
        <f t="shared" si="189"/>
        <v>0</v>
      </c>
      <c r="O249" s="135">
        <f t="shared" si="189"/>
        <v>0</v>
      </c>
      <c r="P249" s="135">
        <f t="shared" si="166"/>
        <v>0</v>
      </c>
      <c r="Q249" s="209">
        <f t="shared" si="164"/>
        <v>0</v>
      </c>
    </row>
    <row r="250" spans="3:17">
      <c r="C250" s="713" t="str">
        <f>CONCATENATE("Trans.Gains /",N13)</f>
        <v>Trans.Gains /wall 3</v>
      </c>
      <c r="D250" s="135">
        <f>IF(D$113=0,0,$N$30*D$45/1000)</f>
        <v>0</v>
      </c>
      <c r="E250" s="135">
        <f t="shared" ref="E250:O250" si="190">IF(E$113=0,0,$N$30*E$45/1000)</f>
        <v>0</v>
      </c>
      <c r="F250" s="135">
        <f t="shared" si="190"/>
        <v>0</v>
      </c>
      <c r="G250" s="135">
        <f t="shared" si="190"/>
        <v>0</v>
      </c>
      <c r="H250" s="135">
        <f t="shared" si="190"/>
        <v>0</v>
      </c>
      <c r="I250" s="135">
        <f t="shared" si="190"/>
        <v>0</v>
      </c>
      <c r="J250" s="135">
        <f t="shared" si="190"/>
        <v>0</v>
      </c>
      <c r="K250" s="135">
        <f t="shared" si="190"/>
        <v>0</v>
      </c>
      <c r="L250" s="135">
        <f t="shared" si="190"/>
        <v>0</v>
      </c>
      <c r="M250" s="135">
        <f t="shared" si="190"/>
        <v>0</v>
      </c>
      <c r="N250" s="135">
        <f t="shared" si="190"/>
        <v>0</v>
      </c>
      <c r="O250" s="135">
        <f t="shared" si="190"/>
        <v>0</v>
      </c>
      <c r="P250" s="135">
        <f t="shared" si="166"/>
        <v>0</v>
      </c>
      <c r="Q250" s="209">
        <f t="shared" si="164"/>
        <v>0</v>
      </c>
    </row>
    <row r="251" spans="3:17">
      <c r="C251" s="713" t="str">
        <f>CONCATENATE("Trans.Gains /",O13)</f>
        <v>Trans.Gains /wall 4</v>
      </c>
      <c r="D251" s="135">
        <f>IF(D$113=0,0,$O$30*D$45/1000)</f>
        <v>0</v>
      </c>
      <c r="E251" s="135">
        <f t="shared" ref="E251:O251" si="191">IF(E$113=0,0,$O$30*E$45/1000)</f>
        <v>0</v>
      </c>
      <c r="F251" s="135">
        <f t="shared" si="191"/>
        <v>0</v>
      </c>
      <c r="G251" s="135">
        <f t="shared" si="191"/>
        <v>0</v>
      </c>
      <c r="H251" s="135">
        <f t="shared" si="191"/>
        <v>0</v>
      </c>
      <c r="I251" s="135">
        <f t="shared" si="191"/>
        <v>0</v>
      </c>
      <c r="J251" s="135">
        <f t="shared" si="191"/>
        <v>0</v>
      </c>
      <c r="K251" s="135">
        <f t="shared" si="191"/>
        <v>0</v>
      </c>
      <c r="L251" s="135">
        <f t="shared" si="191"/>
        <v>0</v>
      </c>
      <c r="M251" s="135">
        <f t="shared" si="191"/>
        <v>0</v>
      </c>
      <c r="N251" s="135">
        <f t="shared" si="191"/>
        <v>0</v>
      </c>
      <c r="O251" s="135">
        <f t="shared" si="191"/>
        <v>0</v>
      </c>
      <c r="P251" s="135">
        <f t="shared" si="166"/>
        <v>0</v>
      </c>
      <c r="Q251" s="209">
        <f t="shared" si="164"/>
        <v>0</v>
      </c>
    </row>
    <row r="252" spans="3:17">
      <c r="C252" s="713" t="s">
        <v>916</v>
      </c>
      <c r="D252" s="710">
        <f>D157</f>
        <v>0</v>
      </c>
      <c r="E252" s="135">
        <f t="shared" ref="E252:O252" si="192">E157</f>
        <v>0</v>
      </c>
      <c r="F252" s="135">
        <f t="shared" si="192"/>
        <v>0</v>
      </c>
      <c r="G252" s="135">
        <f t="shared" si="192"/>
        <v>0</v>
      </c>
      <c r="H252" s="135">
        <f t="shared" si="192"/>
        <v>0</v>
      </c>
      <c r="I252" s="135">
        <f t="shared" si="192"/>
        <v>0</v>
      </c>
      <c r="J252" s="135">
        <f t="shared" si="192"/>
        <v>0</v>
      </c>
      <c r="K252" s="135">
        <f t="shared" si="192"/>
        <v>0</v>
      </c>
      <c r="L252" s="135">
        <f t="shared" si="192"/>
        <v>0</v>
      </c>
      <c r="M252" s="135">
        <f t="shared" si="192"/>
        <v>0</v>
      </c>
      <c r="N252" s="135">
        <f t="shared" si="192"/>
        <v>0</v>
      </c>
      <c r="O252" s="135">
        <f t="shared" si="192"/>
        <v>0</v>
      </c>
      <c r="P252" s="135">
        <f t="shared" si="166"/>
        <v>0</v>
      </c>
      <c r="Q252" s="209">
        <f t="shared" si="164"/>
        <v>0</v>
      </c>
    </row>
    <row r="253" spans="3:17">
      <c r="C253" s="712" t="s">
        <v>360</v>
      </c>
      <c r="D253" s="699">
        <f>SUM(D240:D251)</f>
        <v>0</v>
      </c>
      <c r="E253" s="699">
        <f t="shared" ref="E253:O253" si="193">SUM(E240:E251)</f>
        <v>0</v>
      </c>
      <c r="F253" s="699">
        <f t="shared" si="193"/>
        <v>0</v>
      </c>
      <c r="G253" s="699">
        <f t="shared" si="193"/>
        <v>0</v>
      </c>
      <c r="H253" s="699">
        <f t="shared" si="193"/>
        <v>0</v>
      </c>
      <c r="I253" s="699">
        <f t="shared" si="193"/>
        <v>74.37705200000002</v>
      </c>
      <c r="J253" s="699">
        <f t="shared" si="193"/>
        <v>829.33704</v>
      </c>
      <c r="K253" s="699">
        <f t="shared" si="193"/>
        <v>990.59702000000061</v>
      </c>
      <c r="L253" s="699">
        <f t="shared" si="193"/>
        <v>444.9459040000001</v>
      </c>
      <c r="M253" s="699">
        <f t="shared" si="193"/>
        <v>0</v>
      </c>
      <c r="N253" s="699">
        <f t="shared" si="193"/>
        <v>0</v>
      </c>
      <c r="O253" s="699">
        <f t="shared" si="193"/>
        <v>0</v>
      </c>
      <c r="P253" s="699">
        <f t="shared" si="166"/>
        <v>2339.2570160000009</v>
      </c>
      <c r="Q253" s="388">
        <f t="shared" si="164"/>
        <v>1.4782034856240132</v>
      </c>
    </row>
    <row r="254" spans="3:17">
      <c r="C254" s="472" t="s">
        <v>915</v>
      </c>
      <c r="D254" s="699">
        <f>D253-D156</f>
        <v>0</v>
      </c>
      <c r="E254" s="699">
        <f t="shared" ref="E254:O254" si="194">E253-E156</f>
        <v>0</v>
      </c>
      <c r="F254" s="699">
        <f t="shared" si="194"/>
        <v>0</v>
      </c>
      <c r="G254" s="699">
        <f t="shared" si="194"/>
        <v>0</v>
      </c>
      <c r="H254" s="699">
        <f t="shared" si="194"/>
        <v>0</v>
      </c>
      <c r="I254" s="699">
        <f t="shared" si="194"/>
        <v>0</v>
      </c>
      <c r="J254" s="699">
        <f t="shared" si="194"/>
        <v>0</v>
      </c>
      <c r="K254" s="699">
        <f t="shared" si="194"/>
        <v>0</v>
      </c>
      <c r="L254" s="699">
        <f t="shared" si="194"/>
        <v>0</v>
      </c>
      <c r="M254" s="699">
        <f t="shared" si="194"/>
        <v>0</v>
      </c>
      <c r="N254" s="699">
        <f t="shared" si="194"/>
        <v>0</v>
      </c>
      <c r="O254" s="699">
        <f t="shared" si="194"/>
        <v>0</v>
      </c>
      <c r="P254" s="699"/>
      <c r="Q254" s="388"/>
    </row>
    <row r="255" spans="3:17" ht="15" thickBot="1"/>
    <row r="256" spans="3:17" ht="15">
      <c r="C256" s="709" t="s">
        <v>957</v>
      </c>
      <c r="D256" s="697" t="s">
        <v>832</v>
      </c>
      <c r="E256" s="698" t="s">
        <v>842</v>
      </c>
      <c r="F256" s="698" t="s">
        <v>833</v>
      </c>
      <c r="G256" s="698" t="s">
        <v>834</v>
      </c>
      <c r="H256" s="698" t="s">
        <v>835</v>
      </c>
      <c r="I256" s="698" t="s">
        <v>836</v>
      </c>
      <c r="J256" s="698" t="s">
        <v>837</v>
      </c>
      <c r="K256" s="698" t="s">
        <v>838</v>
      </c>
      <c r="L256" s="698" t="s">
        <v>839</v>
      </c>
      <c r="M256" s="698" t="s">
        <v>840</v>
      </c>
      <c r="N256" s="698" t="s">
        <v>841</v>
      </c>
      <c r="O256" s="702" t="s">
        <v>843</v>
      </c>
      <c r="P256" s="706" t="s">
        <v>33</v>
      </c>
      <c r="Q256" s="707" t="s">
        <v>917</v>
      </c>
    </row>
    <row r="257" spans="3:17">
      <c r="C257" s="695" t="s">
        <v>930</v>
      </c>
      <c r="D257" s="135">
        <f>IF(D$112=0,0,$D$29*D$43/1000)</f>
        <v>51.393793500000051</v>
      </c>
      <c r="E257" s="135">
        <f t="shared" ref="E257:O257" si="195">IF(E$112=0,0,$D$29*E$43/1000)</f>
        <v>43.029755999999992</v>
      </c>
      <c r="F257" s="135">
        <f t="shared" si="195"/>
        <v>40.109453999999964</v>
      </c>
      <c r="G257" s="135">
        <f t="shared" si="195"/>
        <v>30.344186250000039</v>
      </c>
      <c r="H257" s="135">
        <f t="shared" si="195"/>
        <v>17.333536499999987</v>
      </c>
      <c r="I257" s="135">
        <f t="shared" si="195"/>
        <v>0</v>
      </c>
      <c r="J257" s="135">
        <f t="shared" si="195"/>
        <v>0</v>
      </c>
      <c r="K257" s="135">
        <f t="shared" si="195"/>
        <v>0</v>
      </c>
      <c r="L257" s="135">
        <f t="shared" si="195"/>
        <v>0</v>
      </c>
      <c r="M257" s="135">
        <f t="shared" si="195"/>
        <v>13.230078750000001</v>
      </c>
      <c r="N257" s="135">
        <f t="shared" si="195"/>
        <v>31.927596749999996</v>
      </c>
      <c r="O257" s="135">
        <f t="shared" si="195"/>
        <v>47.240219249999988</v>
      </c>
      <c r="P257" s="135">
        <f>SUM(D257:O257)</f>
        <v>274.60862099999997</v>
      </c>
      <c r="Q257" s="209">
        <f>P257/$D$3</f>
        <v>0.17352835450236964</v>
      </c>
    </row>
    <row r="258" spans="3:17">
      <c r="C258" s="695" t="s">
        <v>931</v>
      </c>
      <c r="D258" s="135">
        <f>IF(D$112=0,0,$E$29*D$43/1000)</f>
        <v>0</v>
      </c>
      <c r="E258" s="135">
        <f t="shared" ref="E258:O258" si="196">IF(E$112=0,0,$E$29*E$43/1000)</f>
        <v>0</v>
      </c>
      <c r="F258" s="135">
        <f t="shared" si="196"/>
        <v>0</v>
      </c>
      <c r="G258" s="135">
        <f t="shared" si="196"/>
        <v>0</v>
      </c>
      <c r="H258" s="135">
        <f t="shared" si="196"/>
        <v>0</v>
      </c>
      <c r="I258" s="135">
        <f t="shared" si="196"/>
        <v>0</v>
      </c>
      <c r="J258" s="135">
        <f t="shared" si="196"/>
        <v>0</v>
      </c>
      <c r="K258" s="135">
        <f t="shared" si="196"/>
        <v>0</v>
      </c>
      <c r="L258" s="135">
        <f t="shared" si="196"/>
        <v>0</v>
      </c>
      <c r="M258" s="135">
        <f t="shared" si="196"/>
        <v>0</v>
      </c>
      <c r="N258" s="135">
        <f t="shared" si="196"/>
        <v>0</v>
      </c>
      <c r="O258" s="135">
        <f t="shared" si="196"/>
        <v>0</v>
      </c>
      <c r="P258" s="135">
        <f t="shared" ref="P258:P268" si="197">SUM(D258:O258)</f>
        <v>0</v>
      </c>
      <c r="Q258" s="209">
        <f t="shared" ref="Q258:Q268" si="198">P258/$D$3</f>
        <v>0</v>
      </c>
    </row>
    <row r="259" spans="3:17">
      <c r="C259" s="695" t="s">
        <v>932</v>
      </c>
      <c r="D259" s="135">
        <f>IF(D$112=0,0,$F$29*D$43/1000)</f>
        <v>901.10451270000101</v>
      </c>
      <c r="E259" s="135">
        <f t="shared" ref="E259:O259" si="199">IF(E$112=0,0,$F$29*E$43/1000)</f>
        <v>754.45505519999995</v>
      </c>
      <c r="F259" s="135">
        <f t="shared" si="199"/>
        <v>703.2524267999994</v>
      </c>
      <c r="G259" s="135">
        <f t="shared" si="199"/>
        <v>532.03473225000084</v>
      </c>
      <c r="H259" s="135">
        <f t="shared" si="199"/>
        <v>303.91467329999978</v>
      </c>
      <c r="I259" s="135">
        <f t="shared" si="199"/>
        <v>0</v>
      </c>
      <c r="J259" s="135">
        <f t="shared" si="199"/>
        <v>0</v>
      </c>
      <c r="K259" s="135">
        <f t="shared" si="199"/>
        <v>0</v>
      </c>
      <c r="L259" s="135">
        <f t="shared" si="199"/>
        <v>0</v>
      </c>
      <c r="M259" s="135">
        <f t="shared" si="199"/>
        <v>231.96738075000005</v>
      </c>
      <c r="N259" s="135">
        <f t="shared" si="199"/>
        <v>559.79719635000004</v>
      </c>
      <c r="O259" s="135">
        <f t="shared" si="199"/>
        <v>828.27851084999998</v>
      </c>
      <c r="P259" s="135">
        <f t="shared" si="197"/>
        <v>4814.8044882000013</v>
      </c>
      <c r="Q259" s="209">
        <f t="shared" si="198"/>
        <v>3.0425304822748824</v>
      </c>
    </row>
    <row r="260" spans="3:17">
      <c r="C260" s="695" t="s">
        <v>933</v>
      </c>
      <c r="D260" s="135">
        <f>IF(D$112=0,0,$G$29*D$43/1000)</f>
        <v>1319.1073665000015</v>
      </c>
      <c r="E260" s="135">
        <f t="shared" ref="E260:O260" si="200">IF(E$112=0,0,$G$29*E$43/1000)</f>
        <v>1104.430404</v>
      </c>
      <c r="F260" s="135">
        <f t="shared" si="200"/>
        <v>1029.475985999999</v>
      </c>
      <c r="G260" s="135">
        <f t="shared" si="200"/>
        <v>778.83411375000105</v>
      </c>
      <c r="H260" s="135">
        <f t="shared" si="200"/>
        <v>444.89410349999969</v>
      </c>
      <c r="I260" s="135">
        <f t="shared" si="200"/>
        <v>0</v>
      </c>
      <c r="J260" s="135">
        <f t="shared" si="200"/>
        <v>0</v>
      </c>
      <c r="K260" s="135">
        <f t="shared" si="200"/>
        <v>0</v>
      </c>
      <c r="L260" s="135">
        <f t="shared" si="200"/>
        <v>0</v>
      </c>
      <c r="M260" s="135">
        <f t="shared" si="200"/>
        <v>339.57202124999998</v>
      </c>
      <c r="N260" s="135">
        <f t="shared" si="200"/>
        <v>819.47498324999992</v>
      </c>
      <c r="O260" s="135">
        <f t="shared" si="200"/>
        <v>1212.4989607499999</v>
      </c>
      <c r="P260" s="135">
        <f t="shared" si="197"/>
        <v>7048.2879390000016</v>
      </c>
      <c r="Q260" s="209">
        <f t="shared" si="198"/>
        <v>4.4538944322274894</v>
      </c>
    </row>
    <row r="261" spans="3:17">
      <c r="C261" s="695" t="s">
        <v>934</v>
      </c>
      <c r="D261" s="135">
        <f>IF(D$112=0,0,$H$29*D$43/1000)</f>
        <v>901.10451270000101</v>
      </c>
      <c r="E261" s="135">
        <f t="shared" ref="E261:O261" si="201">IF(E$112=0,0,$H$29*E$43/1000)</f>
        <v>754.45505519999995</v>
      </c>
      <c r="F261" s="135">
        <f t="shared" si="201"/>
        <v>703.2524267999994</v>
      </c>
      <c r="G261" s="135">
        <f t="shared" si="201"/>
        <v>532.03473225000084</v>
      </c>
      <c r="H261" s="135">
        <f t="shared" si="201"/>
        <v>303.91467329999978</v>
      </c>
      <c r="I261" s="135">
        <f t="shared" si="201"/>
        <v>0</v>
      </c>
      <c r="J261" s="135">
        <f t="shared" si="201"/>
        <v>0</v>
      </c>
      <c r="K261" s="135">
        <f t="shared" si="201"/>
        <v>0</v>
      </c>
      <c r="L261" s="135">
        <f t="shared" si="201"/>
        <v>0</v>
      </c>
      <c r="M261" s="135">
        <f t="shared" si="201"/>
        <v>231.96738075000005</v>
      </c>
      <c r="N261" s="135">
        <f t="shared" si="201"/>
        <v>559.79719635000004</v>
      </c>
      <c r="O261" s="135">
        <f t="shared" si="201"/>
        <v>828.27851084999998</v>
      </c>
      <c r="P261" s="135">
        <f t="shared" si="197"/>
        <v>4814.8044882000013</v>
      </c>
      <c r="Q261" s="209">
        <f t="shared" si="198"/>
        <v>3.0425304822748824</v>
      </c>
    </row>
    <row r="262" spans="3:17">
      <c r="C262" s="695" t="s">
        <v>935</v>
      </c>
      <c r="D262" s="135">
        <f>IF(D$112=0,0,$I$29*D$43/1000)</f>
        <v>0</v>
      </c>
      <c r="E262" s="135">
        <f t="shared" ref="E262:O262" si="202">IF(E$112=0,0,$I$29*E$43/1000)</f>
        <v>0</v>
      </c>
      <c r="F262" s="135">
        <f t="shared" si="202"/>
        <v>0</v>
      </c>
      <c r="G262" s="135">
        <f t="shared" si="202"/>
        <v>0</v>
      </c>
      <c r="H262" s="135">
        <f t="shared" si="202"/>
        <v>0</v>
      </c>
      <c r="I262" s="135">
        <f t="shared" si="202"/>
        <v>0</v>
      </c>
      <c r="J262" s="135">
        <f t="shared" si="202"/>
        <v>0</v>
      </c>
      <c r="K262" s="135">
        <f t="shared" si="202"/>
        <v>0</v>
      </c>
      <c r="L262" s="135">
        <f t="shared" si="202"/>
        <v>0</v>
      </c>
      <c r="M262" s="135">
        <f t="shared" si="202"/>
        <v>0</v>
      </c>
      <c r="N262" s="135">
        <f t="shared" si="202"/>
        <v>0</v>
      </c>
      <c r="O262" s="135">
        <f t="shared" si="202"/>
        <v>0</v>
      </c>
      <c r="P262" s="135">
        <f t="shared" si="197"/>
        <v>0</v>
      </c>
      <c r="Q262" s="209">
        <f t="shared" si="198"/>
        <v>0</v>
      </c>
    </row>
    <row r="263" spans="3:17">
      <c r="C263" s="695" t="s">
        <v>936</v>
      </c>
      <c r="D263" s="135">
        <f>IF(D$112=0,0,$J$29*D$43/1000)</f>
        <v>0</v>
      </c>
      <c r="E263" s="135">
        <f t="shared" ref="E263:O263" si="203">IF(E$112=0,0,$J$29*E$43/1000)</f>
        <v>0</v>
      </c>
      <c r="F263" s="135">
        <f t="shared" si="203"/>
        <v>0</v>
      </c>
      <c r="G263" s="135">
        <f t="shared" si="203"/>
        <v>0</v>
      </c>
      <c r="H263" s="135">
        <f t="shared" si="203"/>
        <v>0</v>
      </c>
      <c r="I263" s="135">
        <f t="shared" si="203"/>
        <v>0</v>
      </c>
      <c r="J263" s="135">
        <f t="shared" si="203"/>
        <v>0</v>
      </c>
      <c r="K263" s="135">
        <f t="shared" si="203"/>
        <v>0</v>
      </c>
      <c r="L263" s="135">
        <f t="shared" si="203"/>
        <v>0</v>
      </c>
      <c r="M263" s="135">
        <f t="shared" si="203"/>
        <v>0</v>
      </c>
      <c r="N263" s="135">
        <f t="shared" si="203"/>
        <v>0</v>
      </c>
      <c r="O263" s="135">
        <f t="shared" si="203"/>
        <v>0</v>
      </c>
      <c r="P263" s="135">
        <f t="shared" si="197"/>
        <v>0</v>
      </c>
      <c r="Q263" s="209">
        <f t="shared" si="198"/>
        <v>0</v>
      </c>
    </row>
    <row r="264" spans="3:17">
      <c r="C264" s="695" t="s">
        <v>937</v>
      </c>
      <c r="D264" s="135">
        <f>IF(D$112=0,0,$K$29*D$43/1000)</f>
        <v>0</v>
      </c>
      <c r="E264" s="135">
        <f t="shared" ref="E264:O264" si="204">IF(E$112=0,0,$K$29*E$43/1000)</f>
        <v>0</v>
      </c>
      <c r="F264" s="135">
        <f t="shared" si="204"/>
        <v>0</v>
      </c>
      <c r="G264" s="135">
        <f t="shared" si="204"/>
        <v>0</v>
      </c>
      <c r="H264" s="135">
        <f t="shared" si="204"/>
        <v>0</v>
      </c>
      <c r="I264" s="135">
        <f t="shared" si="204"/>
        <v>0</v>
      </c>
      <c r="J264" s="135">
        <f t="shared" si="204"/>
        <v>0</v>
      </c>
      <c r="K264" s="135">
        <f t="shared" si="204"/>
        <v>0</v>
      </c>
      <c r="L264" s="135">
        <f t="shared" si="204"/>
        <v>0</v>
      </c>
      <c r="M264" s="135">
        <f t="shared" si="204"/>
        <v>0</v>
      </c>
      <c r="N264" s="135">
        <f t="shared" si="204"/>
        <v>0</v>
      </c>
      <c r="O264" s="135">
        <f t="shared" si="204"/>
        <v>0</v>
      </c>
      <c r="P264" s="135">
        <f t="shared" si="197"/>
        <v>0</v>
      </c>
      <c r="Q264" s="209">
        <f t="shared" si="198"/>
        <v>0</v>
      </c>
    </row>
    <row r="265" spans="3:17">
      <c r="C265" s="695" t="str">
        <f>CONCATENATE("Trans.Loss windows ",L13)</f>
        <v>Trans.Loss windows wall 1</v>
      </c>
      <c r="D265" s="135">
        <f>IF(D$112=0,0,$L$29*D$43/1000)</f>
        <v>0</v>
      </c>
      <c r="E265" s="135">
        <f t="shared" ref="E265:O265" si="205">IF(E$112=0,0,$L$29*E$43/1000)</f>
        <v>0</v>
      </c>
      <c r="F265" s="135">
        <f t="shared" si="205"/>
        <v>0</v>
      </c>
      <c r="G265" s="135">
        <f t="shared" si="205"/>
        <v>0</v>
      </c>
      <c r="H265" s="135">
        <f t="shared" si="205"/>
        <v>0</v>
      </c>
      <c r="I265" s="135">
        <f t="shared" si="205"/>
        <v>0</v>
      </c>
      <c r="J265" s="135">
        <f t="shared" si="205"/>
        <v>0</v>
      </c>
      <c r="K265" s="135">
        <f t="shared" si="205"/>
        <v>0</v>
      </c>
      <c r="L265" s="135">
        <f t="shared" si="205"/>
        <v>0</v>
      </c>
      <c r="M265" s="135">
        <f t="shared" si="205"/>
        <v>0</v>
      </c>
      <c r="N265" s="135">
        <f t="shared" si="205"/>
        <v>0</v>
      </c>
      <c r="O265" s="135">
        <f t="shared" si="205"/>
        <v>0</v>
      </c>
      <c r="P265" s="135">
        <f t="shared" si="197"/>
        <v>0</v>
      </c>
      <c r="Q265" s="209">
        <f t="shared" si="198"/>
        <v>0</v>
      </c>
    </row>
    <row r="266" spans="3:17">
      <c r="C266" s="695" t="str">
        <f>CONCATENATE("Trans.Loss windows ",M13)</f>
        <v>Trans.Loss windows wall 2</v>
      </c>
      <c r="D266" s="135">
        <f>IF(D$112=0,0,$M$29*D$43/1000)</f>
        <v>0</v>
      </c>
      <c r="E266" s="135">
        <f t="shared" ref="E266:O266" si="206">IF(E$112=0,0,$M$29*E$43/1000)</f>
        <v>0</v>
      </c>
      <c r="F266" s="135">
        <f t="shared" si="206"/>
        <v>0</v>
      </c>
      <c r="G266" s="135">
        <f t="shared" si="206"/>
        <v>0</v>
      </c>
      <c r="H266" s="135">
        <f t="shared" si="206"/>
        <v>0</v>
      </c>
      <c r="I266" s="135">
        <f t="shared" si="206"/>
        <v>0</v>
      </c>
      <c r="J266" s="135">
        <f t="shared" si="206"/>
        <v>0</v>
      </c>
      <c r="K266" s="135">
        <f t="shared" si="206"/>
        <v>0</v>
      </c>
      <c r="L266" s="135">
        <f t="shared" si="206"/>
        <v>0</v>
      </c>
      <c r="M266" s="135">
        <f t="shared" si="206"/>
        <v>0</v>
      </c>
      <c r="N266" s="135">
        <f t="shared" si="206"/>
        <v>0</v>
      </c>
      <c r="O266" s="135">
        <f t="shared" si="206"/>
        <v>0</v>
      </c>
      <c r="P266" s="135">
        <f t="shared" si="197"/>
        <v>0</v>
      </c>
      <c r="Q266" s="209">
        <f t="shared" si="198"/>
        <v>0</v>
      </c>
    </row>
    <row r="267" spans="3:17">
      <c r="C267" s="695" t="str">
        <f>CONCATENATE("Trans.Loss windows ",N13)</f>
        <v>Trans.Loss windows wall 3</v>
      </c>
      <c r="D267" s="135">
        <f>IF(D$112=0,0,$N$29*D$43/1000)</f>
        <v>0</v>
      </c>
      <c r="E267" s="135">
        <f t="shared" ref="E267:O267" si="207">IF(E$112=0,0,$N$29*E$43/1000)</f>
        <v>0</v>
      </c>
      <c r="F267" s="135">
        <f t="shared" si="207"/>
        <v>0</v>
      </c>
      <c r="G267" s="135">
        <f t="shared" si="207"/>
        <v>0</v>
      </c>
      <c r="H267" s="135">
        <f t="shared" si="207"/>
        <v>0</v>
      </c>
      <c r="I267" s="135">
        <f t="shared" si="207"/>
        <v>0</v>
      </c>
      <c r="J267" s="135">
        <f t="shared" si="207"/>
        <v>0</v>
      </c>
      <c r="K267" s="135">
        <f t="shared" si="207"/>
        <v>0</v>
      </c>
      <c r="L267" s="135">
        <f t="shared" si="207"/>
        <v>0</v>
      </c>
      <c r="M267" s="135">
        <f t="shared" si="207"/>
        <v>0</v>
      </c>
      <c r="N267" s="135">
        <f t="shared" si="207"/>
        <v>0</v>
      </c>
      <c r="O267" s="135">
        <f t="shared" si="207"/>
        <v>0</v>
      </c>
      <c r="P267" s="135">
        <f t="shared" si="197"/>
        <v>0</v>
      </c>
      <c r="Q267" s="209">
        <f t="shared" si="198"/>
        <v>0</v>
      </c>
    </row>
    <row r="268" spans="3:17">
      <c r="C268" s="695" t="str">
        <f>CONCATENATE("Trans.Loss windows ",O13)</f>
        <v>Trans.Loss windows wall 4</v>
      </c>
      <c r="D268" s="135">
        <f>IF(D$112=0,0,$O$29*D$43/1000)</f>
        <v>0</v>
      </c>
      <c r="E268" s="135">
        <f t="shared" ref="E268:O268" si="208">IF(E$112=0,0,$O$29*E$43/1000)</f>
        <v>0</v>
      </c>
      <c r="F268" s="135">
        <f t="shared" si="208"/>
        <v>0</v>
      </c>
      <c r="G268" s="135">
        <f t="shared" si="208"/>
        <v>0</v>
      </c>
      <c r="H268" s="135">
        <f t="shared" si="208"/>
        <v>0</v>
      </c>
      <c r="I268" s="135">
        <f t="shared" si="208"/>
        <v>0</v>
      </c>
      <c r="J268" s="135">
        <f t="shared" si="208"/>
        <v>0</v>
      </c>
      <c r="K268" s="135">
        <f t="shared" si="208"/>
        <v>0</v>
      </c>
      <c r="L268" s="135">
        <f t="shared" si="208"/>
        <v>0</v>
      </c>
      <c r="M268" s="135">
        <f t="shared" si="208"/>
        <v>0</v>
      </c>
      <c r="N268" s="135">
        <f t="shared" si="208"/>
        <v>0</v>
      </c>
      <c r="O268" s="135">
        <f t="shared" si="208"/>
        <v>0</v>
      </c>
      <c r="P268" s="135">
        <f t="shared" si="197"/>
        <v>0</v>
      </c>
      <c r="Q268" s="209">
        <f t="shared" si="198"/>
        <v>0</v>
      </c>
    </row>
    <row r="269" spans="3:17">
      <c r="C269" s="472" t="s">
        <v>33</v>
      </c>
      <c r="D269" s="699">
        <f>SUM(D257:D268)</f>
        <v>3172.7101854000034</v>
      </c>
      <c r="E269" s="699">
        <f t="shared" ref="E269:O269" si="209">SUM(E257:E268)</f>
        <v>2656.3702703999998</v>
      </c>
      <c r="F269" s="699">
        <f t="shared" si="209"/>
        <v>2476.0902935999975</v>
      </c>
      <c r="G269" s="699">
        <f t="shared" si="209"/>
        <v>1873.2477645000029</v>
      </c>
      <c r="H269" s="699">
        <f t="shared" si="209"/>
        <v>1070.0569865999992</v>
      </c>
      <c r="I269" s="699">
        <f t="shared" si="209"/>
        <v>0</v>
      </c>
      <c r="J269" s="699">
        <f t="shared" si="209"/>
        <v>0</v>
      </c>
      <c r="K269" s="699">
        <f t="shared" si="209"/>
        <v>0</v>
      </c>
      <c r="L269" s="699">
        <f t="shared" si="209"/>
        <v>0</v>
      </c>
      <c r="M269" s="699">
        <f t="shared" si="209"/>
        <v>816.73686150000003</v>
      </c>
      <c r="N269" s="699">
        <f t="shared" si="209"/>
        <v>1970.9969726999998</v>
      </c>
      <c r="O269" s="699">
        <f t="shared" si="209"/>
        <v>2916.2962017</v>
      </c>
      <c r="P269" s="699">
        <f>SUM(D269:O269)</f>
        <v>16952.5055364</v>
      </c>
      <c r="Q269" s="388">
        <f>P269/$D$3</f>
        <v>10.71248375127962</v>
      </c>
    </row>
    <row r="270" spans="3:17">
      <c r="C270" s="472" t="s">
        <v>915</v>
      </c>
      <c r="D270" s="699">
        <f>D269-D133</f>
        <v>0</v>
      </c>
      <c r="E270" s="699">
        <f t="shared" ref="E270:O270" si="210">E269-E133</f>
        <v>0</v>
      </c>
      <c r="F270" s="699">
        <f t="shared" si="210"/>
        <v>0</v>
      </c>
      <c r="G270" s="699">
        <f t="shared" si="210"/>
        <v>0</v>
      </c>
      <c r="H270" s="699">
        <f t="shared" si="210"/>
        <v>0</v>
      </c>
      <c r="I270" s="699">
        <f t="shared" si="210"/>
        <v>0</v>
      </c>
      <c r="J270" s="699">
        <f t="shared" si="210"/>
        <v>0</v>
      </c>
      <c r="K270" s="699">
        <f t="shared" si="210"/>
        <v>0</v>
      </c>
      <c r="L270" s="699">
        <f t="shared" si="210"/>
        <v>0</v>
      </c>
      <c r="M270" s="699">
        <f t="shared" si="210"/>
        <v>0</v>
      </c>
      <c r="N270" s="699">
        <f t="shared" si="210"/>
        <v>0</v>
      </c>
      <c r="O270" s="699">
        <f t="shared" si="210"/>
        <v>0</v>
      </c>
      <c r="P270" s="705"/>
      <c r="Q270" s="705"/>
    </row>
    <row r="271" spans="3:17">
      <c r="C271" s="695" t="s">
        <v>947</v>
      </c>
      <c r="D271" s="135">
        <f>IF(D$112=0,0,-D$105*$D$29*D$44/1000)</f>
        <v>-1.2053741704344688E-2</v>
      </c>
      <c r="E271" s="135">
        <f t="shared" ref="E271:O271" si="211">IF(E$112=0,0,-E$105*$D$29*E$44/1000)</f>
        <v>-1.4014782497930575E-2</v>
      </c>
      <c r="F271" s="135">
        <f t="shared" si="211"/>
        <v>-5.2930049702896373E-2</v>
      </c>
      <c r="G271" s="135">
        <f t="shared" si="211"/>
        <v>-0.27034848575373815</v>
      </c>
      <c r="H271" s="135">
        <f t="shared" si="211"/>
        <v>-1.0444958282390036</v>
      </c>
      <c r="I271" s="135">
        <f t="shared" si="211"/>
        <v>0</v>
      </c>
      <c r="J271" s="135">
        <f t="shared" si="211"/>
        <v>0</v>
      </c>
      <c r="K271" s="135">
        <f t="shared" si="211"/>
        <v>0</v>
      </c>
      <c r="L271" s="135">
        <f t="shared" si="211"/>
        <v>0</v>
      </c>
      <c r="M271" s="135">
        <f t="shared" si="211"/>
        <v>-2.0337982461572208</v>
      </c>
      <c r="N271" s="135">
        <f t="shared" si="211"/>
        <v>-9.6968448344969232E-2</v>
      </c>
      <c r="O271" s="135">
        <f t="shared" si="211"/>
        <v>-8.4489050890221448E-2</v>
      </c>
      <c r="P271" s="135">
        <f>SUM(D271:O271)</f>
        <v>-3.6090986332903245</v>
      </c>
      <c r="Q271" s="209">
        <f>P271/$D$3</f>
        <v>-2.28063104789278E-3</v>
      </c>
    </row>
    <row r="272" spans="3:17">
      <c r="C272" s="695" t="s">
        <v>948</v>
      </c>
      <c r="D272" s="135">
        <f>IF(D$112=0,0,-D$105*$E$29*D$44/1000)</f>
        <v>0</v>
      </c>
      <c r="E272" s="135">
        <f t="shared" ref="E272:O272" si="212">IF(E$112=0,0,-E$105*$E$29*E$44/1000)</f>
        <v>0</v>
      </c>
      <c r="F272" s="135">
        <f t="shared" si="212"/>
        <v>0</v>
      </c>
      <c r="G272" s="135">
        <f t="shared" si="212"/>
        <v>0</v>
      </c>
      <c r="H272" s="135">
        <f t="shared" si="212"/>
        <v>0</v>
      </c>
      <c r="I272" s="135">
        <f t="shared" si="212"/>
        <v>0</v>
      </c>
      <c r="J272" s="135">
        <f t="shared" si="212"/>
        <v>0</v>
      </c>
      <c r="K272" s="135">
        <f t="shared" si="212"/>
        <v>0</v>
      </c>
      <c r="L272" s="135">
        <f t="shared" si="212"/>
        <v>0</v>
      </c>
      <c r="M272" s="135">
        <f t="shared" si="212"/>
        <v>0</v>
      </c>
      <c r="N272" s="135">
        <f t="shared" si="212"/>
        <v>0</v>
      </c>
      <c r="O272" s="135">
        <f t="shared" si="212"/>
        <v>0</v>
      </c>
      <c r="P272" s="135">
        <f t="shared" ref="P272:P283" si="213">SUM(D272:O272)</f>
        <v>0</v>
      </c>
      <c r="Q272" s="209">
        <f t="shared" ref="Q272:Q283" si="214">P272/$D$3</f>
        <v>0</v>
      </c>
    </row>
    <row r="273" spans="3:17">
      <c r="C273" s="695" t="s">
        <v>949</v>
      </c>
      <c r="D273" s="135">
        <f>IF(D$112=0,0,-D$105*$F$29*D$44/1000)</f>
        <v>-0.21134227121617691</v>
      </c>
      <c r="E273" s="135">
        <f t="shared" ref="E273:O273" si="215">IF(E$112=0,0,-E$105*$F$29*E$44/1000)</f>
        <v>-0.24572585313038275</v>
      </c>
      <c r="F273" s="135">
        <f t="shared" si="215"/>
        <v>-0.92804020479078331</v>
      </c>
      <c r="G273" s="135">
        <f t="shared" si="215"/>
        <v>-4.7401101168822093</v>
      </c>
      <c r="H273" s="135">
        <f t="shared" si="215"/>
        <v>-18.313493521790527</v>
      </c>
      <c r="I273" s="135">
        <f t="shared" si="215"/>
        <v>0</v>
      </c>
      <c r="J273" s="135">
        <f t="shared" si="215"/>
        <v>0</v>
      </c>
      <c r="K273" s="135">
        <f t="shared" si="215"/>
        <v>0</v>
      </c>
      <c r="L273" s="135">
        <f t="shared" si="215"/>
        <v>0</v>
      </c>
      <c r="M273" s="135">
        <f t="shared" si="215"/>
        <v>-35.659262582623278</v>
      </c>
      <c r="N273" s="135">
        <f t="shared" si="215"/>
        <v>-1.7001801276484607</v>
      </c>
      <c r="O273" s="135">
        <f t="shared" si="215"/>
        <v>-1.4813746922752165</v>
      </c>
      <c r="P273" s="135">
        <f t="shared" si="213"/>
        <v>-63.279529370357032</v>
      </c>
      <c r="Q273" s="209">
        <f t="shared" si="214"/>
        <v>-3.9987064373053417E-2</v>
      </c>
    </row>
    <row r="274" spans="3:17">
      <c r="C274" s="695" t="s">
        <v>950</v>
      </c>
      <c r="D274" s="135">
        <f>IF(D$112=0,0,-D$105*$G$29*D$44/1000)</f>
        <v>-0.30937937041151364</v>
      </c>
      <c r="E274" s="135">
        <f t="shared" ref="E274:O274" si="216">IF(E$112=0,0,-E$105*$G$29*E$44/1000)</f>
        <v>-0.35971275078021808</v>
      </c>
      <c r="F274" s="135">
        <f t="shared" si="216"/>
        <v>-1.3585379423743404</v>
      </c>
      <c r="G274" s="135">
        <f t="shared" si="216"/>
        <v>-6.9389444676792795</v>
      </c>
      <c r="H274" s="135">
        <f t="shared" si="216"/>
        <v>-26.808726258134421</v>
      </c>
      <c r="I274" s="135">
        <f t="shared" si="216"/>
        <v>0</v>
      </c>
      <c r="J274" s="135">
        <f t="shared" si="216"/>
        <v>0</v>
      </c>
      <c r="K274" s="135">
        <f t="shared" si="216"/>
        <v>0</v>
      </c>
      <c r="L274" s="135">
        <f t="shared" si="216"/>
        <v>0</v>
      </c>
      <c r="M274" s="135">
        <f t="shared" si="216"/>
        <v>-52.20082165136867</v>
      </c>
      <c r="N274" s="135">
        <f t="shared" si="216"/>
        <v>-2.48885684085421</v>
      </c>
      <c r="O274" s="135">
        <f t="shared" si="216"/>
        <v>-2.1685523061823511</v>
      </c>
      <c r="P274" s="135">
        <f t="shared" si="213"/>
        <v>-92.633531587785001</v>
      </c>
      <c r="Q274" s="209">
        <f t="shared" si="214"/>
        <v>-5.8536196895914695E-2</v>
      </c>
    </row>
    <row r="275" spans="3:17">
      <c r="C275" s="695" t="s">
        <v>951</v>
      </c>
      <c r="D275" s="135">
        <f>IF(D$112=0,0,-D$105*$H$29*D$44/1000)</f>
        <v>-0.21134227121617691</v>
      </c>
      <c r="E275" s="135">
        <f t="shared" ref="E275:O275" si="217">IF(E$112=0,0,-E$105*$H$29*E$44/1000)</f>
        <v>-0.24572585313038275</v>
      </c>
      <c r="F275" s="135">
        <f t="shared" si="217"/>
        <v>-0.92804020479078331</v>
      </c>
      <c r="G275" s="135">
        <f t="shared" si="217"/>
        <v>-4.7401101168822093</v>
      </c>
      <c r="H275" s="135">
        <f t="shared" si="217"/>
        <v>-18.313493521790527</v>
      </c>
      <c r="I275" s="135">
        <f t="shared" si="217"/>
        <v>0</v>
      </c>
      <c r="J275" s="135">
        <f t="shared" si="217"/>
        <v>0</v>
      </c>
      <c r="K275" s="135">
        <f t="shared" si="217"/>
        <v>0</v>
      </c>
      <c r="L275" s="135">
        <f t="shared" si="217"/>
        <v>0</v>
      </c>
      <c r="M275" s="135">
        <f t="shared" si="217"/>
        <v>-35.659262582623278</v>
      </c>
      <c r="N275" s="135">
        <f t="shared" si="217"/>
        <v>-1.7001801276484607</v>
      </c>
      <c r="O275" s="135">
        <f t="shared" si="217"/>
        <v>-1.4813746922752165</v>
      </c>
      <c r="P275" s="135">
        <f t="shared" si="213"/>
        <v>-63.279529370357032</v>
      </c>
      <c r="Q275" s="209">
        <f t="shared" si="214"/>
        <v>-3.9987064373053417E-2</v>
      </c>
    </row>
    <row r="276" spans="3:17">
      <c r="C276" s="695" t="s">
        <v>952</v>
      </c>
      <c r="D276" s="135">
        <f>IF(D$112=0,0,-D$105*$I$29*D$44/1000)</f>
        <v>0</v>
      </c>
      <c r="E276" s="135">
        <f t="shared" ref="E276:O276" si="218">IF(E$112=0,0,-E$105*$I$29*E$44/1000)</f>
        <v>0</v>
      </c>
      <c r="F276" s="135">
        <f t="shared" si="218"/>
        <v>0</v>
      </c>
      <c r="G276" s="135">
        <f t="shared" si="218"/>
        <v>0</v>
      </c>
      <c r="H276" s="135">
        <f t="shared" si="218"/>
        <v>0</v>
      </c>
      <c r="I276" s="135">
        <f t="shared" si="218"/>
        <v>0</v>
      </c>
      <c r="J276" s="135">
        <f t="shared" si="218"/>
        <v>0</v>
      </c>
      <c r="K276" s="135">
        <f t="shared" si="218"/>
        <v>0</v>
      </c>
      <c r="L276" s="135">
        <f t="shared" si="218"/>
        <v>0</v>
      </c>
      <c r="M276" s="135">
        <f t="shared" si="218"/>
        <v>0</v>
      </c>
      <c r="N276" s="135">
        <f t="shared" si="218"/>
        <v>0</v>
      </c>
      <c r="O276" s="135">
        <f t="shared" si="218"/>
        <v>0</v>
      </c>
      <c r="P276" s="135">
        <f t="shared" si="213"/>
        <v>0</v>
      </c>
      <c r="Q276" s="209">
        <f t="shared" si="214"/>
        <v>0</v>
      </c>
    </row>
    <row r="277" spans="3:17">
      <c r="C277" s="695" t="s">
        <v>953</v>
      </c>
      <c r="D277" s="135">
        <f>IF(D$112=0,0,-D$105*$J$29*D$44/1000)</f>
        <v>0</v>
      </c>
      <c r="E277" s="135">
        <f t="shared" ref="E277:O277" si="219">IF(E$112=0,0,-E$105*$J$29*E$44/1000)</f>
        <v>0</v>
      </c>
      <c r="F277" s="135">
        <f t="shared" si="219"/>
        <v>0</v>
      </c>
      <c r="G277" s="135">
        <f t="shared" si="219"/>
        <v>0</v>
      </c>
      <c r="H277" s="135">
        <f t="shared" si="219"/>
        <v>0</v>
      </c>
      <c r="I277" s="135">
        <f t="shared" si="219"/>
        <v>0</v>
      </c>
      <c r="J277" s="135">
        <f t="shared" si="219"/>
        <v>0</v>
      </c>
      <c r="K277" s="135">
        <f t="shared" si="219"/>
        <v>0</v>
      </c>
      <c r="L277" s="135">
        <f t="shared" si="219"/>
        <v>0</v>
      </c>
      <c r="M277" s="135">
        <f t="shared" si="219"/>
        <v>0</v>
      </c>
      <c r="N277" s="135">
        <f t="shared" si="219"/>
        <v>0</v>
      </c>
      <c r="O277" s="135">
        <f t="shared" si="219"/>
        <v>0</v>
      </c>
      <c r="P277" s="135">
        <f t="shared" si="213"/>
        <v>0</v>
      </c>
      <c r="Q277" s="209">
        <f t="shared" si="214"/>
        <v>0</v>
      </c>
    </row>
    <row r="278" spans="3:17">
      <c r="C278" s="695" t="s">
        <v>954</v>
      </c>
      <c r="D278" s="135">
        <f>IF(D$112=0,0,-D$105*$K$29*D$44/1000)</f>
        <v>0</v>
      </c>
      <c r="E278" s="135">
        <f t="shared" ref="E278:O278" si="220">IF(E$112=0,0,-E$105*$K$29*E$44/1000)</f>
        <v>0</v>
      </c>
      <c r="F278" s="135">
        <f t="shared" si="220"/>
        <v>0</v>
      </c>
      <c r="G278" s="135">
        <f t="shared" si="220"/>
        <v>0</v>
      </c>
      <c r="H278" s="135">
        <f t="shared" si="220"/>
        <v>0</v>
      </c>
      <c r="I278" s="135">
        <f t="shared" si="220"/>
        <v>0</v>
      </c>
      <c r="J278" s="135">
        <f t="shared" si="220"/>
        <v>0</v>
      </c>
      <c r="K278" s="135">
        <f t="shared" si="220"/>
        <v>0</v>
      </c>
      <c r="L278" s="135">
        <f t="shared" si="220"/>
        <v>0</v>
      </c>
      <c r="M278" s="135">
        <f t="shared" si="220"/>
        <v>0</v>
      </c>
      <c r="N278" s="135">
        <f t="shared" si="220"/>
        <v>0</v>
      </c>
      <c r="O278" s="135">
        <f t="shared" si="220"/>
        <v>0</v>
      </c>
      <c r="P278" s="135">
        <f t="shared" si="213"/>
        <v>0</v>
      </c>
      <c r="Q278" s="209">
        <f t="shared" si="214"/>
        <v>0</v>
      </c>
    </row>
    <row r="279" spans="3:17">
      <c r="C279" s="695" t="str">
        <f>CONCATENATE("Trans.Gains windows ",L27)</f>
        <v>Trans.Gains windows 2</v>
      </c>
      <c r="D279" s="135">
        <f>IF(D$112=0,0,-D$105*$L$29*D$44/1000)</f>
        <v>0</v>
      </c>
      <c r="E279" s="135">
        <f t="shared" ref="E279:O279" si="221">IF(E$112=0,0,-E$105*$L$29*E$44/1000)</f>
        <v>0</v>
      </c>
      <c r="F279" s="135">
        <f t="shared" si="221"/>
        <v>0</v>
      </c>
      <c r="G279" s="135">
        <f t="shared" si="221"/>
        <v>0</v>
      </c>
      <c r="H279" s="135">
        <f t="shared" si="221"/>
        <v>0</v>
      </c>
      <c r="I279" s="135">
        <f t="shared" si="221"/>
        <v>0</v>
      </c>
      <c r="J279" s="135">
        <f t="shared" si="221"/>
        <v>0</v>
      </c>
      <c r="K279" s="135">
        <f t="shared" si="221"/>
        <v>0</v>
      </c>
      <c r="L279" s="135">
        <f t="shared" si="221"/>
        <v>0</v>
      </c>
      <c r="M279" s="135">
        <f t="shared" si="221"/>
        <v>0</v>
      </c>
      <c r="N279" s="135">
        <f t="shared" si="221"/>
        <v>0</v>
      </c>
      <c r="O279" s="135">
        <f t="shared" si="221"/>
        <v>0</v>
      </c>
      <c r="P279" s="135">
        <f t="shared" si="213"/>
        <v>0</v>
      </c>
      <c r="Q279" s="209">
        <f t="shared" si="214"/>
        <v>0</v>
      </c>
    </row>
    <row r="280" spans="3:17">
      <c r="C280" s="695" t="str">
        <f>CONCATENATE("Trans.Gains windows ",M27)</f>
        <v>Trans.Gains windows 0</v>
      </c>
      <c r="D280" s="135">
        <f>IF(D$112=0,0,-D$105*$M$29*D$44/1000)</f>
        <v>0</v>
      </c>
      <c r="E280" s="135">
        <f t="shared" ref="E280:O280" si="222">IF(E$112=0,0,-E$105*$M$29*E$44/1000)</f>
        <v>0</v>
      </c>
      <c r="F280" s="135">
        <f t="shared" si="222"/>
        <v>0</v>
      </c>
      <c r="G280" s="135">
        <f t="shared" si="222"/>
        <v>0</v>
      </c>
      <c r="H280" s="135">
        <f t="shared" si="222"/>
        <v>0</v>
      </c>
      <c r="I280" s="135">
        <f t="shared" si="222"/>
        <v>0</v>
      </c>
      <c r="J280" s="135">
        <f t="shared" si="222"/>
        <v>0</v>
      </c>
      <c r="K280" s="135">
        <f t="shared" si="222"/>
        <v>0</v>
      </c>
      <c r="L280" s="135">
        <f t="shared" si="222"/>
        <v>0</v>
      </c>
      <c r="M280" s="135">
        <f t="shared" si="222"/>
        <v>0</v>
      </c>
      <c r="N280" s="135">
        <f t="shared" si="222"/>
        <v>0</v>
      </c>
      <c r="O280" s="135">
        <f t="shared" si="222"/>
        <v>0</v>
      </c>
      <c r="P280" s="135">
        <f t="shared" si="213"/>
        <v>0</v>
      </c>
      <c r="Q280" s="209">
        <f t="shared" si="214"/>
        <v>0</v>
      </c>
    </row>
    <row r="281" spans="3:17">
      <c r="C281" s="695" t="str">
        <f>CONCATENATE("Trans.Gains windows ",N27)</f>
        <v>Trans.Gains windows 0</v>
      </c>
      <c r="D281" s="135">
        <f>IF(D$112=0,0,-D$105*$N$29*D$44/1000)</f>
        <v>0</v>
      </c>
      <c r="E281" s="135">
        <f t="shared" ref="E281:O281" si="223">IF(E$112=0,0,-E$105*$N$29*E$44/1000)</f>
        <v>0</v>
      </c>
      <c r="F281" s="135">
        <f t="shared" si="223"/>
        <v>0</v>
      </c>
      <c r="G281" s="135">
        <f t="shared" si="223"/>
        <v>0</v>
      </c>
      <c r="H281" s="135">
        <f t="shared" si="223"/>
        <v>0</v>
      </c>
      <c r="I281" s="135">
        <f t="shared" si="223"/>
        <v>0</v>
      </c>
      <c r="J281" s="135">
        <f t="shared" si="223"/>
        <v>0</v>
      </c>
      <c r="K281" s="135">
        <f t="shared" si="223"/>
        <v>0</v>
      </c>
      <c r="L281" s="135">
        <f t="shared" si="223"/>
        <v>0</v>
      </c>
      <c r="M281" s="135">
        <f t="shared" si="223"/>
        <v>0</v>
      </c>
      <c r="N281" s="135">
        <f t="shared" si="223"/>
        <v>0</v>
      </c>
      <c r="O281" s="135">
        <f t="shared" si="223"/>
        <v>0</v>
      </c>
      <c r="P281" s="135">
        <f t="shared" si="213"/>
        <v>0</v>
      </c>
      <c r="Q281" s="209">
        <f t="shared" si="214"/>
        <v>0</v>
      </c>
    </row>
    <row r="282" spans="3:17">
      <c r="C282" s="695" t="str">
        <f>CONCATENATE("Trans.Gains windows ",O27)</f>
        <v>Trans.Gains windows 0</v>
      </c>
      <c r="D282" s="135">
        <f>IF(D$112=0,0,-D$105*$O$29*D$44/1000)</f>
        <v>0</v>
      </c>
      <c r="E282" s="135">
        <f t="shared" ref="E282:O282" si="224">IF(E$112=0,0,-E$105*$O$29*E$44/1000)</f>
        <v>0</v>
      </c>
      <c r="F282" s="135">
        <f t="shared" si="224"/>
        <v>0</v>
      </c>
      <c r="G282" s="135">
        <f t="shared" si="224"/>
        <v>0</v>
      </c>
      <c r="H282" s="135">
        <f t="shared" si="224"/>
        <v>0</v>
      </c>
      <c r="I282" s="135">
        <f t="shared" si="224"/>
        <v>0</v>
      </c>
      <c r="J282" s="135">
        <f t="shared" si="224"/>
        <v>0</v>
      </c>
      <c r="K282" s="135">
        <f t="shared" si="224"/>
        <v>0</v>
      </c>
      <c r="L282" s="135">
        <f t="shared" si="224"/>
        <v>0</v>
      </c>
      <c r="M282" s="135">
        <f t="shared" si="224"/>
        <v>0</v>
      </c>
      <c r="N282" s="135">
        <f t="shared" si="224"/>
        <v>0</v>
      </c>
      <c r="O282" s="135">
        <f t="shared" si="224"/>
        <v>0</v>
      </c>
      <c r="P282" s="135">
        <f t="shared" si="213"/>
        <v>0</v>
      </c>
      <c r="Q282" s="209">
        <f t="shared" si="214"/>
        <v>0</v>
      </c>
    </row>
    <row r="283" spans="3:17">
      <c r="C283" s="708" t="s">
        <v>33</v>
      </c>
      <c r="D283" s="699">
        <f>SUM(D271:D282)</f>
        <v>-0.7441176545482121</v>
      </c>
      <c r="E283" s="699">
        <f t="shared" ref="E283:O283" si="225">SUM(E271:E282)</f>
        <v>-0.86517923953891418</v>
      </c>
      <c r="F283" s="699">
        <f t="shared" si="225"/>
        <v>-3.2675484016588032</v>
      </c>
      <c r="G283" s="699">
        <f t="shared" si="225"/>
        <v>-16.689513187197438</v>
      </c>
      <c r="H283" s="699">
        <f t="shared" si="225"/>
        <v>-64.480209129954488</v>
      </c>
      <c r="I283" s="699">
        <f t="shared" si="225"/>
        <v>0</v>
      </c>
      <c r="J283" s="699">
        <f t="shared" si="225"/>
        <v>0</v>
      </c>
      <c r="K283" s="699">
        <f t="shared" si="225"/>
        <v>0</v>
      </c>
      <c r="L283" s="699">
        <f t="shared" si="225"/>
        <v>0</v>
      </c>
      <c r="M283" s="699">
        <f t="shared" si="225"/>
        <v>-125.55314506277244</v>
      </c>
      <c r="N283" s="699">
        <f t="shared" si="225"/>
        <v>-5.9861855444961005</v>
      </c>
      <c r="O283" s="699">
        <f t="shared" si="225"/>
        <v>-5.2157907416230049</v>
      </c>
      <c r="P283" s="699">
        <f t="shared" si="213"/>
        <v>-222.80168896178941</v>
      </c>
      <c r="Q283" s="388">
        <f t="shared" si="214"/>
        <v>-0.14079095668991432</v>
      </c>
    </row>
    <row r="284" spans="3:17">
      <c r="C284" s="472" t="s">
        <v>915</v>
      </c>
      <c r="D284" s="699">
        <f>D283-D140</f>
        <v>0</v>
      </c>
      <c r="E284" s="699">
        <f t="shared" ref="E284:O284" si="226">E283-E140</f>
        <v>0</v>
      </c>
      <c r="F284" s="699">
        <f t="shared" si="226"/>
        <v>0</v>
      </c>
      <c r="G284" s="699">
        <f t="shared" si="226"/>
        <v>0</v>
      </c>
      <c r="H284" s="699">
        <f t="shared" si="226"/>
        <v>0</v>
      </c>
      <c r="I284" s="699">
        <f t="shared" si="226"/>
        <v>0</v>
      </c>
      <c r="J284" s="699">
        <f t="shared" si="226"/>
        <v>0</v>
      </c>
      <c r="K284" s="699">
        <f t="shared" si="226"/>
        <v>0</v>
      </c>
      <c r="L284" s="699">
        <f t="shared" si="226"/>
        <v>0</v>
      </c>
      <c r="M284" s="699">
        <f t="shared" si="226"/>
        <v>0</v>
      </c>
      <c r="N284" s="699">
        <f t="shared" si="226"/>
        <v>0</v>
      </c>
      <c r="O284" s="699">
        <f t="shared" si="226"/>
        <v>0</v>
      </c>
      <c r="P284" s="696"/>
      <c r="Q284" s="472"/>
    </row>
    <row r="285" spans="3:17" ht="15" thickBot="1"/>
    <row r="286" spans="3:17" ht="15">
      <c r="C286" s="709" t="s">
        <v>958</v>
      </c>
      <c r="D286" s="697" t="s">
        <v>832</v>
      </c>
      <c r="E286" s="698" t="s">
        <v>842</v>
      </c>
      <c r="F286" s="698" t="s">
        <v>833</v>
      </c>
      <c r="G286" s="698" t="s">
        <v>834</v>
      </c>
      <c r="H286" s="698" t="s">
        <v>835</v>
      </c>
      <c r="I286" s="698" t="s">
        <v>836</v>
      </c>
      <c r="J286" s="698" t="s">
        <v>837</v>
      </c>
      <c r="K286" s="698" t="s">
        <v>838</v>
      </c>
      <c r="L286" s="698" t="s">
        <v>839</v>
      </c>
      <c r="M286" s="698" t="s">
        <v>840</v>
      </c>
      <c r="N286" s="698" t="s">
        <v>841</v>
      </c>
      <c r="O286" s="702" t="s">
        <v>843</v>
      </c>
      <c r="P286" s="706" t="s">
        <v>33</v>
      </c>
      <c r="Q286" s="707" t="s">
        <v>917</v>
      </c>
    </row>
    <row r="287" spans="3:17">
      <c r="C287" s="695" t="s">
        <v>930</v>
      </c>
      <c r="D287" s="135">
        <f>IF(D$113=0,0,-D$106*$D$29*D$46/1000)</f>
        <v>0</v>
      </c>
      <c r="E287" s="135">
        <f t="shared" ref="E287:O287" si="227">IF(E$113=0,0,-E$106*$D$29*E$46/1000)</f>
        <v>0</v>
      </c>
      <c r="F287" s="135">
        <f t="shared" si="227"/>
        <v>0</v>
      </c>
      <c r="G287" s="135">
        <f t="shared" si="227"/>
        <v>0</v>
      </c>
      <c r="H287" s="135">
        <f t="shared" si="227"/>
        <v>-13.56111409570131</v>
      </c>
      <c r="I287" s="135">
        <f t="shared" si="227"/>
        <v>-11.819949912558329</v>
      </c>
      <c r="J287" s="135">
        <f t="shared" si="227"/>
        <v>-9.5050358328132347</v>
      </c>
      <c r="K287" s="135">
        <f t="shared" si="227"/>
        <v>-8.819445697213105</v>
      </c>
      <c r="L287" s="135">
        <f t="shared" si="227"/>
        <v>-8.9344613779358717</v>
      </c>
      <c r="M287" s="135">
        <f t="shared" si="227"/>
        <v>0</v>
      </c>
      <c r="N287" s="135">
        <f t="shared" si="227"/>
        <v>0</v>
      </c>
      <c r="O287" s="135">
        <f t="shared" si="227"/>
        <v>0</v>
      </c>
      <c r="P287" s="135">
        <f>SUM(D287:O287)</f>
        <v>-52.64000691622185</v>
      </c>
      <c r="Q287" s="209">
        <f>P287/$D$3</f>
        <v>-3.3263827435211279E-2</v>
      </c>
    </row>
    <row r="288" spans="3:17">
      <c r="C288" s="695" t="s">
        <v>931</v>
      </c>
      <c r="D288" s="135">
        <f>IF(D$113=0,0,-D$106*$E$29*D$46/1000)</f>
        <v>0</v>
      </c>
      <c r="E288" s="135">
        <f t="shared" ref="E288:O288" si="228">IF(E$113=0,0,-E$106*$E$29*E$46/1000)</f>
        <v>0</v>
      </c>
      <c r="F288" s="135">
        <f t="shared" si="228"/>
        <v>0</v>
      </c>
      <c r="G288" s="135">
        <f t="shared" si="228"/>
        <v>0</v>
      </c>
      <c r="H288" s="135">
        <f t="shared" si="228"/>
        <v>0</v>
      </c>
      <c r="I288" s="135">
        <f t="shared" si="228"/>
        <v>0</v>
      </c>
      <c r="J288" s="135">
        <f t="shared" si="228"/>
        <v>0</v>
      </c>
      <c r="K288" s="135">
        <f t="shared" si="228"/>
        <v>0</v>
      </c>
      <c r="L288" s="135">
        <f t="shared" si="228"/>
        <v>0</v>
      </c>
      <c r="M288" s="135">
        <f t="shared" si="228"/>
        <v>0</v>
      </c>
      <c r="N288" s="135">
        <f t="shared" si="228"/>
        <v>0</v>
      </c>
      <c r="O288" s="135">
        <f t="shared" si="228"/>
        <v>0</v>
      </c>
      <c r="P288" s="135">
        <f t="shared" ref="P288:P299" si="229">SUM(D288:O288)</f>
        <v>0</v>
      </c>
      <c r="Q288" s="209">
        <f t="shared" ref="Q288:Q299" si="230">P288/$D$3</f>
        <v>0</v>
      </c>
    </row>
    <row r="289" spans="3:17">
      <c r="C289" s="695" t="s">
        <v>932</v>
      </c>
      <c r="D289" s="135">
        <f>IF(D$113=0,0,-D$106*$F$29*D$46/1000)</f>
        <v>0</v>
      </c>
      <c r="E289" s="135">
        <f t="shared" ref="E289:O289" si="231">IF(E$113=0,0,-E$106*$F$29*E$46/1000)</f>
        <v>0</v>
      </c>
      <c r="F289" s="135">
        <f t="shared" si="231"/>
        <v>0</v>
      </c>
      <c r="G289" s="135">
        <f t="shared" si="231"/>
        <v>0</v>
      </c>
      <c r="H289" s="135">
        <f t="shared" si="231"/>
        <v>-237.77153381129634</v>
      </c>
      <c r="I289" s="135">
        <f t="shared" si="231"/>
        <v>-207.24312180018941</v>
      </c>
      <c r="J289" s="135">
        <f t="shared" si="231"/>
        <v>-166.65496160199206</v>
      </c>
      <c r="K289" s="135">
        <f t="shared" si="231"/>
        <v>-154.63428122446976</v>
      </c>
      <c r="L289" s="135">
        <f t="shared" si="231"/>
        <v>-156.65088949314227</v>
      </c>
      <c r="M289" s="135">
        <f t="shared" si="231"/>
        <v>0</v>
      </c>
      <c r="N289" s="135">
        <f t="shared" si="231"/>
        <v>0</v>
      </c>
      <c r="O289" s="135">
        <f t="shared" si="231"/>
        <v>0</v>
      </c>
      <c r="P289" s="135">
        <f t="shared" si="229"/>
        <v>-922.95478793108975</v>
      </c>
      <c r="Q289" s="209">
        <f t="shared" si="230"/>
        <v>-0.58322577436403777</v>
      </c>
    </row>
    <row r="290" spans="3:17">
      <c r="C290" s="695" t="s">
        <v>933</v>
      </c>
      <c r="D290" s="135">
        <f>IF(D$113=0,0,-D$106*$G$29*D$46/1000)</f>
        <v>0</v>
      </c>
      <c r="E290" s="135">
        <f t="shared" ref="E290:O290" si="232">IF(E$113=0,0,-E$106*$G$29*E$46/1000)</f>
        <v>0</v>
      </c>
      <c r="F290" s="135">
        <f t="shared" si="232"/>
        <v>0</v>
      </c>
      <c r="G290" s="135">
        <f t="shared" si="232"/>
        <v>0</v>
      </c>
      <c r="H290" s="135">
        <f t="shared" si="232"/>
        <v>-348.06859512300031</v>
      </c>
      <c r="I290" s="135">
        <f t="shared" si="232"/>
        <v>-303.37871442233046</v>
      </c>
      <c r="J290" s="135">
        <f t="shared" si="232"/>
        <v>-243.96258637553967</v>
      </c>
      <c r="K290" s="135">
        <f t="shared" si="232"/>
        <v>-226.36577289513633</v>
      </c>
      <c r="L290" s="135">
        <f t="shared" si="232"/>
        <v>-229.31784203368736</v>
      </c>
      <c r="M290" s="135">
        <f t="shared" si="232"/>
        <v>0</v>
      </c>
      <c r="N290" s="135">
        <f t="shared" si="232"/>
        <v>0</v>
      </c>
      <c r="O290" s="135">
        <f t="shared" si="232"/>
        <v>0</v>
      </c>
      <c r="P290" s="135">
        <f t="shared" si="229"/>
        <v>-1351.0935108496942</v>
      </c>
      <c r="Q290" s="209">
        <f t="shared" si="230"/>
        <v>-0.85377157083708954</v>
      </c>
    </row>
    <row r="291" spans="3:17">
      <c r="C291" s="695" t="s">
        <v>934</v>
      </c>
      <c r="D291" s="135">
        <f>IF(D$113=0,0,-D$106*$H$29*D$46/1000)</f>
        <v>0</v>
      </c>
      <c r="E291" s="135">
        <f t="shared" ref="E291:O291" si="233">IF(E$113=0,0,-E$106*$H$29*E$46/1000)</f>
        <v>0</v>
      </c>
      <c r="F291" s="135">
        <f t="shared" si="233"/>
        <v>0</v>
      </c>
      <c r="G291" s="135">
        <f t="shared" si="233"/>
        <v>0</v>
      </c>
      <c r="H291" s="135">
        <f t="shared" si="233"/>
        <v>-237.77153381129634</v>
      </c>
      <c r="I291" s="135">
        <f t="shared" si="233"/>
        <v>-207.24312180018941</v>
      </c>
      <c r="J291" s="135">
        <f t="shared" si="233"/>
        <v>-166.65496160199206</v>
      </c>
      <c r="K291" s="135">
        <f t="shared" si="233"/>
        <v>-154.63428122446976</v>
      </c>
      <c r="L291" s="135">
        <f t="shared" si="233"/>
        <v>-156.65088949314227</v>
      </c>
      <c r="M291" s="135">
        <f t="shared" si="233"/>
        <v>0</v>
      </c>
      <c r="N291" s="135">
        <f t="shared" si="233"/>
        <v>0</v>
      </c>
      <c r="O291" s="135">
        <f t="shared" si="233"/>
        <v>0</v>
      </c>
      <c r="P291" s="135">
        <f t="shared" si="229"/>
        <v>-922.95478793108975</v>
      </c>
      <c r="Q291" s="209">
        <f t="shared" si="230"/>
        <v>-0.58322577436403777</v>
      </c>
    </row>
    <row r="292" spans="3:17">
      <c r="C292" s="695" t="s">
        <v>935</v>
      </c>
      <c r="D292" s="135">
        <f>IF(D$113=0,0,-D$106*$I$29*D$46/1000)</f>
        <v>0</v>
      </c>
      <c r="E292" s="135">
        <f t="shared" ref="E292:O292" si="234">IF(E$113=0,0,-E$106*$I$29*E$46/1000)</f>
        <v>0</v>
      </c>
      <c r="F292" s="135">
        <f t="shared" si="234"/>
        <v>0</v>
      </c>
      <c r="G292" s="135">
        <f t="shared" si="234"/>
        <v>0</v>
      </c>
      <c r="H292" s="135">
        <f t="shared" si="234"/>
        <v>0</v>
      </c>
      <c r="I292" s="135">
        <f t="shared" si="234"/>
        <v>0</v>
      </c>
      <c r="J292" s="135">
        <f t="shared" si="234"/>
        <v>0</v>
      </c>
      <c r="K292" s="135">
        <f t="shared" si="234"/>
        <v>0</v>
      </c>
      <c r="L292" s="135">
        <f t="shared" si="234"/>
        <v>0</v>
      </c>
      <c r="M292" s="135">
        <f t="shared" si="234"/>
        <v>0</v>
      </c>
      <c r="N292" s="135">
        <f t="shared" si="234"/>
        <v>0</v>
      </c>
      <c r="O292" s="135">
        <f t="shared" si="234"/>
        <v>0</v>
      </c>
      <c r="P292" s="135">
        <f t="shared" si="229"/>
        <v>0</v>
      </c>
      <c r="Q292" s="209">
        <f t="shared" si="230"/>
        <v>0</v>
      </c>
    </row>
    <row r="293" spans="3:17">
      <c r="C293" s="695" t="s">
        <v>936</v>
      </c>
      <c r="D293" s="135">
        <f>IF(D$113=0,0,-D$106*$J$29*D$46/1000)</f>
        <v>0</v>
      </c>
      <c r="E293" s="135">
        <f t="shared" ref="E293:O293" si="235">IF(E$113=0,0,-E$106*$J$29*E$46/1000)</f>
        <v>0</v>
      </c>
      <c r="F293" s="135">
        <f t="shared" si="235"/>
        <v>0</v>
      </c>
      <c r="G293" s="135">
        <f t="shared" si="235"/>
        <v>0</v>
      </c>
      <c r="H293" s="135">
        <f t="shared" si="235"/>
        <v>0</v>
      </c>
      <c r="I293" s="135">
        <f t="shared" si="235"/>
        <v>0</v>
      </c>
      <c r="J293" s="135">
        <f t="shared" si="235"/>
        <v>0</v>
      </c>
      <c r="K293" s="135">
        <f t="shared" si="235"/>
        <v>0</v>
      </c>
      <c r="L293" s="135">
        <f t="shared" si="235"/>
        <v>0</v>
      </c>
      <c r="M293" s="135">
        <f t="shared" si="235"/>
        <v>0</v>
      </c>
      <c r="N293" s="135">
        <f t="shared" si="235"/>
        <v>0</v>
      </c>
      <c r="O293" s="135">
        <f t="shared" si="235"/>
        <v>0</v>
      </c>
      <c r="P293" s="135">
        <f t="shared" si="229"/>
        <v>0</v>
      </c>
      <c r="Q293" s="209">
        <f t="shared" si="230"/>
        <v>0</v>
      </c>
    </row>
    <row r="294" spans="3:17">
      <c r="C294" s="695" t="s">
        <v>937</v>
      </c>
      <c r="D294" s="135">
        <f>IF(D$113=0,0,-D$106*$K$29*D$46/1000)</f>
        <v>0</v>
      </c>
      <c r="E294" s="135">
        <f t="shared" ref="E294:O294" si="236">IF(E$113=0,0,-E$106*$K$29*E$46/1000)</f>
        <v>0</v>
      </c>
      <c r="F294" s="135">
        <f t="shared" si="236"/>
        <v>0</v>
      </c>
      <c r="G294" s="135">
        <f t="shared" si="236"/>
        <v>0</v>
      </c>
      <c r="H294" s="135">
        <f t="shared" si="236"/>
        <v>0</v>
      </c>
      <c r="I294" s="135">
        <f t="shared" si="236"/>
        <v>0</v>
      </c>
      <c r="J294" s="135">
        <f t="shared" si="236"/>
        <v>0</v>
      </c>
      <c r="K294" s="135">
        <f t="shared" si="236"/>
        <v>0</v>
      </c>
      <c r="L294" s="135">
        <f t="shared" si="236"/>
        <v>0</v>
      </c>
      <c r="M294" s="135">
        <f t="shared" si="236"/>
        <v>0</v>
      </c>
      <c r="N294" s="135">
        <f t="shared" si="236"/>
        <v>0</v>
      </c>
      <c r="O294" s="135">
        <f t="shared" si="236"/>
        <v>0</v>
      </c>
      <c r="P294" s="135">
        <f t="shared" si="229"/>
        <v>0</v>
      </c>
      <c r="Q294" s="209">
        <f t="shared" si="230"/>
        <v>0</v>
      </c>
    </row>
    <row r="295" spans="3:17">
      <c r="C295" s="695" t="str">
        <f>CONCATENATE("Trans.Loss windows ",L13)</f>
        <v>Trans.Loss windows wall 1</v>
      </c>
      <c r="D295" s="135">
        <f>IF(D$113=0,0,-D$106*$L$29*D$46/1000)</f>
        <v>0</v>
      </c>
      <c r="E295" s="135">
        <f t="shared" ref="E295:O295" si="237">IF(E$113=0,0,-E$106*$L$29*E$46/1000)</f>
        <v>0</v>
      </c>
      <c r="F295" s="135">
        <f t="shared" si="237"/>
        <v>0</v>
      </c>
      <c r="G295" s="135">
        <f t="shared" si="237"/>
        <v>0</v>
      </c>
      <c r="H295" s="135">
        <f t="shared" si="237"/>
        <v>0</v>
      </c>
      <c r="I295" s="135">
        <f t="shared" si="237"/>
        <v>0</v>
      </c>
      <c r="J295" s="135">
        <f t="shared" si="237"/>
        <v>0</v>
      </c>
      <c r="K295" s="135">
        <f t="shared" si="237"/>
        <v>0</v>
      </c>
      <c r="L295" s="135">
        <f t="shared" si="237"/>
        <v>0</v>
      </c>
      <c r="M295" s="135">
        <f t="shared" si="237"/>
        <v>0</v>
      </c>
      <c r="N295" s="135">
        <f t="shared" si="237"/>
        <v>0</v>
      </c>
      <c r="O295" s="135">
        <f t="shared" si="237"/>
        <v>0</v>
      </c>
      <c r="P295" s="135">
        <f t="shared" si="229"/>
        <v>0</v>
      </c>
      <c r="Q295" s="209">
        <f t="shared" si="230"/>
        <v>0</v>
      </c>
    </row>
    <row r="296" spans="3:17">
      <c r="C296" s="695" t="str">
        <f>CONCATENATE("Trans.Loss windows ",M133)</f>
        <v>Trans.Loss windows 816.7368615</v>
      </c>
      <c r="D296" s="135">
        <f>IF(D$113=0,0,-D$106*$M$29*D$46/1000)</f>
        <v>0</v>
      </c>
      <c r="E296" s="135">
        <f t="shared" ref="E296:O296" si="238">IF(E$113=0,0,-E$106*$M$29*E$46/1000)</f>
        <v>0</v>
      </c>
      <c r="F296" s="135">
        <f t="shared" si="238"/>
        <v>0</v>
      </c>
      <c r="G296" s="135">
        <f t="shared" si="238"/>
        <v>0</v>
      </c>
      <c r="H296" s="135">
        <f t="shared" si="238"/>
        <v>0</v>
      </c>
      <c r="I296" s="135">
        <f t="shared" si="238"/>
        <v>0</v>
      </c>
      <c r="J296" s="135">
        <f t="shared" si="238"/>
        <v>0</v>
      </c>
      <c r="K296" s="135">
        <f t="shared" si="238"/>
        <v>0</v>
      </c>
      <c r="L296" s="135">
        <f t="shared" si="238"/>
        <v>0</v>
      </c>
      <c r="M296" s="135">
        <f t="shared" si="238"/>
        <v>0</v>
      </c>
      <c r="N296" s="135">
        <f t="shared" si="238"/>
        <v>0</v>
      </c>
      <c r="O296" s="135">
        <f t="shared" si="238"/>
        <v>0</v>
      </c>
      <c r="P296" s="135">
        <f t="shared" si="229"/>
        <v>0</v>
      </c>
      <c r="Q296" s="209">
        <f t="shared" si="230"/>
        <v>0</v>
      </c>
    </row>
    <row r="297" spans="3:17">
      <c r="C297" s="695" t="str">
        <f>CONCATENATE("Trans.Loss windows ",N13)</f>
        <v>Trans.Loss windows wall 3</v>
      </c>
      <c r="D297" s="135">
        <f>IF(D$113=0,0,-D$106*$N$29*D$46/1000)</f>
        <v>0</v>
      </c>
      <c r="E297" s="135">
        <f t="shared" ref="E297:O297" si="239">IF(E$113=0,0,-E$106*$N$29*E$46/1000)</f>
        <v>0</v>
      </c>
      <c r="F297" s="135">
        <f t="shared" si="239"/>
        <v>0</v>
      </c>
      <c r="G297" s="135">
        <f t="shared" si="239"/>
        <v>0</v>
      </c>
      <c r="H297" s="135">
        <f t="shared" si="239"/>
        <v>0</v>
      </c>
      <c r="I297" s="135">
        <f t="shared" si="239"/>
        <v>0</v>
      </c>
      <c r="J297" s="135">
        <f t="shared" si="239"/>
        <v>0</v>
      </c>
      <c r="K297" s="135">
        <f t="shared" si="239"/>
        <v>0</v>
      </c>
      <c r="L297" s="135">
        <f t="shared" si="239"/>
        <v>0</v>
      </c>
      <c r="M297" s="135">
        <f t="shared" si="239"/>
        <v>0</v>
      </c>
      <c r="N297" s="135">
        <f t="shared" si="239"/>
        <v>0</v>
      </c>
      <c r="O297" s="135">
        <f t="shared" si="239"/>
        <v>0</v>
      </c>
      <c r="P297" s="135">
        <f t="shared" si="229"/>
        <v>0</v>
      </c>
      <c r="Q297" s="209">
        <f t="shared" si="230"/>
        <v>0</v>
      </c>
    </row>
    <row r="298" spans="3:17">
      <c r="C298" s="695" t="str">
        <f>CONCATENATE("Trans.Loss windows ",O13)</f>
        <v>Trans.Loss windows wall 4</v>
      </c>
      <c r="D298" s="135">
        <f>IF(D$113=0,0,-D$106*$O$29*D$46/1000)</f>
        <v>0</v>
      </c>
      <c r="E298" s="135">
        <f t="shared" ref="E298:O298" si="240">IF(E$113=0,0,-E$106*$O$29*E$46/1000)</f>
        <v>0</v>
      </c>
      <c r="F298" s="135">
        <f t="shared" si="240"/>
        <v>0</v>
      </c>
      <c r="G298" s="135">
        <f t="shared" si="240"/>
        <v>0</v>
      </c>
      <c r="H298" s="135">
        <f t="shared" si="240"/>
        <v>0</v>
      </c>
      <c r="I298" s="135">
        <f t="shared" si="240"/>
        <v>0</v>
      </c>
      <c r="J298" s="135">
        <f t="shared" si="240"/>
        <v>0</v>
      </c>
      <c r="K298" s="135">
        <f t="shared" si="240"/>
        <v>0</v>
      </c>
      <c r="L298" s="135">
        <f t="shared" si="240"/>
        <v>0</v>
      </c>
      <c r="M298" s="135">
        <f t="shared" si="240"/>
        <v>0</v>
      </c>
      <c r="N298" s="135">
        <f t="shared" si="240"/>
        <v>0</v>
      </c>
      <c r="O298" s="135">
        <f t="shared" si="240"/>
        <v>0</v>
      </c>
      <c r="P298" s="135">
        <f t="shared" si="229"/>
        <v>0</v>
      </c>
      <c r="Q298" s="209">
        <f t="shared" si="230"/>
        <v>0</v>
      </c>
    </row>
    <row r="299" spans="3:17">
      <c r="C299" s="472" t="s">
        <v>33</v>
      </c>
      <c r="D299" s="699">
        <f>SUM(D287:D298)</f>
        <v>0</v>
      </c>
      <c r="E299" s="699">
        <f t="shared" ref="E299:O299" si="241">SUM(E287:E298)</f>
        <v>0</v>
      </c>
      <c r="F299" s="699">
        <f t="shared" si="241"/>
        <v>0</v>
      </c>
      <c r="G299" s="699">
        <f t="shared" si="241"/>
        <v>0</v>
      </c>
      <c r="H299" s="699">
        <f t="shared" si="241"/>
        <v>-837.17277684129419</v>
      </c>
      <c r="I299" s="699">
        <f t="shared" si="241"/>
        <v>-729.68490793526769</v>
      </c>
      <c r="J299" s="699">
        <f t="shared" si="241"/>
        <v>-586.77754541233708</v>
      </c>
      <c r="K299" s="699">
        <f t="shared" si="241"/>
        <v>-544.45378104128895</v>
      </c>
      <c r="L299" s="699">
        <f t="shared" si="241"/>
        <v>-551.55408239790779</v>
      </c>
      <c r="M299" s="699">
        <f t="shared" si="241"/>
        <v>0</v>
      </c>
      <c r="N299" s="699">
        <f t="shared" si="241"/>
        <v>0</v>
      </c>
      <c r="O299" s="699">
        <f t="shared" si="241"/>
        <v>0</v>
      </c>
      <c r="P299" s="699">
        <f t="shared" si="229"/>
        <v>-3249.6430936280958</v>
      </c>
      <c r="Q299" s="388">
        <f t="shared" si="230"/>
        <v>-2.0534869470003767</v>
      </c>
    </row>
    <row r="300" spans="3:17">
      <c r="C300" s="472" t="s">
        <v>915</v>
      </c>
      <c r="D300" s="699">
        <f>D299-D148</f>
        <v>0</v>
      </c>
      <c r="E300" s="699">
        <f t="shared" ref="E300:O300" si="242">E299-E148</f>
        <v>0</v>
      </c>
      <c r="F300" s="699">
        <f t="shared" si="242"/>
        <v>0</v>
      </c>
      <c r="G300" s="699">
        <f t="shared" si="242"/>
        <v>0</v>
      </c>
      <c r="H300" s="699">
        <f t="shared" si="242"/>
        <v>0</v>
      </c>
      <c r="I300" s="699">
        <f t="shared" si="242"/>
        <v>0</v>
      </c>
      <c r="J300" s="699">
        <f t="shared" si="242"/>
        <v>0</v>
      </c>
      <c r="K300" s="699">
        <f t="shared" si="242"/>
        <v>0</v>
      </c>
      <c r="L300" s="699">
        <f t="shared" si="242"/>
        <v>0</v>
      </c>
      <c r="M300" s="699">
        <f t="shared" si="242"/>
        <v>0</v>
      </c>
      <c r="N300" s="699">
        <f t="shared" si="242"/>
        <v>0</v>
      </c>
      <c r="O300" s="699">
        <f t="shared" si="242"/>
        <v>0</v>
      </c>
      <c r="P300" s="705"/>
      <c r="Q300" s="705"/>
    </row>
    <row r="301" spans="3:17">
      <c r="C301" s="695" t="s">
        <v>947</v>
      </c>
      <c r="D301" s="135">
        <f>IF(D$113=0,0,$D$29*D$45/1000)</f>
        <v>0</v>
      </c>
      <c r="E301" s="135">
        <f t="shared" ref="E301:O301" si="243">IF(E$113=0,0,$D$29*E$45/1000)</f>
        <v>0</v>
      </c>
      <c r="F301" s="135">
        <f t="shared" si="243"/>
        <v>0</v>
      </c>
      <c r="G301" s="135">
        <f t="shared" si="243"/>
        <v>0</v>
      </c>
      <c r="H301" s="135">
        <f t="shared" si="243"/>
        <v>0</v>
      </c>
      <c r="I301" s="135">
        <f t="shared" si="243"/>
        <v>0.15305849999999999</v>
      </c>
      <c r="J301" s="135">
        <f t="shared" si="243"/>
        <v>1.7066699999999999</v>
      </c>
      <c r="K301" s="135">
        <f t="shared" si="243"/>
        <v>2.0385225000000009</v>
      </c>
      <c r="L301" s="135">
        <f t="shared" si="243"/>
        <v>0.91564199999999996</v>
      </c>
      <c r="M301" s="135">
        <f t="shared" si="243"/>
        <v>0</v>
      </c>
      <c r="N301" s="135">
        <f t="shared" si="243"/>
        <v>0</v>
      </c>
      <c r="O301" s="135">
        <f t="shared" si="243"/>
        <v>0</v>
      </c>
      <c r="P301" s="135">
        <f>SUM(D301:O301)</f>
        <v>4.8138930000000011</v>
      </c>
      <c r="Q301" s="209">
        <f>P301/$D$3</f>
        <v>3.0419545023696688E-3</v>
      </c>
    </row>
    <row r="302" spans="3:17">
      <c r="C302" s="695" t="s">
        <v>948</v>
      </c>
      <c r="D302" s="135">
        <f>IF(D$113=0,0,$E$29*D$45/1000)</f>
        <v>0</v>
      </c>
      <c r="E302" s="135">
        <f t="shared" ref="E302:O302" si="244">IF(E$113=0,0,$E$29*E$45/1000)</f>
        <v>0</v>
      </c>
      <c r="F302" s="135">
        <f t="shared" si="244"/>
        <v>0</v>
      </c>
      <c r="G302" s="135">
        <f t="shared" si="244"/>
        <v>0</v>
      </c>
      <c r="H302" s="135">
        <f t="shared" si="244"/>
        <v>0</v>
      </c>
      <c r="I302" s="135">
        <f t="shared" si="244"/>
        <v>0</v>
      </c>
      <c r="J302" s="135">
        <f t="shared" si="244"/>
        <v>0</v>
      </c>
      <c r="K302" s="135">
        <f t="shared" si="244"/>
        <v>0</v>
      </c>
      <c r="L302" s="135">
        <f t="shared" si="244"/>
        <v>0</v>
      </c>
      <c r="M302" s="135">
        <f t="shared" si="244"/>
        <v>0</v>
      </c>
      <c r="N302" s="135">
        <f t="shared" si="244"/>
        <v>0</v>
      </c>
      <c r="O302" s="135">
        <f t="shared" si="244"/>
        <v>0</v>
      </c>
      <c r="P302" s="135">
        <f t="shared" ref="P302:P313" si="245">SUM(D302:O302)</f>
        <v>0</v>
      </c>
      <c r="Q302" s="209">
        <f t="shared" ref="Q302:Q313" si="246">P302/$D$3</f>
        <v>0</v>
      </c>
    </row>
    <row r="303" spans="3:17">
      <c r="C303" s="695" t="s">
        <v>949</v>
      </c>
      <c r="D303" s="135">
        <f>IF(D$113=0,0,$F$29*D$45/1000)</f>
        <v>0</v>
      </c>
      <c r="E303" s="135">
        <f t="shared" ref="E303:O303" si="247">IF(E$113=0,0,$F$29*E$45/1000)</f>
        <v>0</v>
      </c>
      <c r="F303" s="135">
        <f t="shared" si="247"/>
        <v>0</v>
      </c>
      <c r="G303" s="135">
        <f t="shared" si="247"/>
        <v>0</v>
      </c>
      <c r="H303" s="135">
        <f t="shared" si="247"/>
        <v>0</v>
      </c>
      <c r="I303" s="135">
        <f t="shared" si="247"/>
        <v>2.6836256999999999</v>
      </c>
      <c r="J303" s="135">
        <f t="shared" si="247"/>
        <v>29.923614000000001</v>
      </c>
      <c r="K303" s="135">
        <f t="shared" si="247"/>
        <v>35.742094500000022</v>
      </c>
      <c r="L303" s="135">
        <f t="shared" si="247"/>
        <v>16.054256400000003</v>
      </c>
      <c r="M303" s="135">
        <f t="shared" si="247"/>
        <v>0</v>
      </c>
      <c r="N303" s="135">
        <f t="shared" si="247"/>
        <v>0</v>
      </c>
      <c r="O303" s="135">
        <f t="shared" si="247"/>
        <v>0</v>
      </c>
      <c r="P303" s="135">
        <f t="shared" si="245"/>
        <v>84.403590600000015</v>
      </c>
      <c r="Q303" s="209">
        <f t="shared" si="246"/>
        <v>5.3335602274881523E-2</v>
      </c>
    </row>
    <row r="304" spans="3:17">
      <c r="C304" s="695" t="s">
        <v>950</v>
      </c>
      <c r="D304" s="135">
        <f>IF(D$113=0,0,$G$29*D$45/1000)</f>
        <v>0</v>
      </c>
      <c r="E304" s="135">
        <f t="shared" ref="E304:O304" si="248">IF(E$113=0,0,$G$29*E$45/1000)</f>
        <v>0</v>
      </c>
      <c r="F304" s="135">
        <f t="shared" si="248"/>
        <v>0</v>
      </c>
      <c r="G304" s="135">
        <f t="shared" si="248"/>
        <v>0</v>
      </c>
      <c r="H304" s="135">
        <f t="shared" si="248"/>
        <v>0</v>
      </c>
      <c r="I304" s="135">
        <f t="shared" si="248"/>
        <v>3.9285014999999999</v>
      </c>
      <c r="J304" s="135">
        <f t="shared" si="248"/>
        <v>43.80453</v>
      </c>
      <c r="K304" s="135">
        <f t="shared" si="248"/>
        <v>52.322077500000027</v>
      </c>
      <c r="L304" s="135">
        <f t="shared" si="248"/>
        <v>23.501478000000002</v>
      </c>
      <c r="M304" s="135">
        <f t="shared" si="248"/>
        <v>0</v>
      </c>
      <c r="N304" s="135">
        <f t="shared" si="248"/>
        <v>0</v>
      </c>
      <c r="O304" s="135">
        <f t="shared" si="248"/>
        <v>0</v>
      </c>
      <c r="P304" s="135">
        <f t="shared" si="245"/>
        <v>123.55658700000004</v>
      </c>
      <c r="Q304" s="209">
        <f t="shared" si="246"/>
        <v>7.807683222748818E-2</v>
      </c>
    </row>
    <row r="305" spans="3:17">
      <c r="C305" s="695" t="s">
        <v>951</v>
      </c>
      <c r="D305" s="135">
        <f>IF(D$113=0,0,$H$29*D$45/1000)</f>
        <v>0</v>
      </c>
      <c r="E305" s="135">
        <f t="shared" ref="E305:O305" si="249">IF(E$113=0,0,$H$29*E$45/1000)</f>
        <v>0</v>
      </c>
      <c r="F305" s="135">
        <f t="shared" si="249"/>
        <v>0</v>
      </c>
      <c r="G305" s="135">
        <f t="shared" si="249"/>
        <v>0</v>
      </c>
      <c r="H305" s="135">
        <f t="shared" si="249"/>
        <v>0</v>
      </c>
      <c r="I305" s="135">
        <f t="shared" si="249"/>
        <v>2.6836256999999999</v>
      </c>
      <c r="J305" s="135">
        <f t="shared" si="249"/>
        <v>29.923614000000001</v>
      </c>
      <c r="K305" s="135">
        <f t="shared" si="249"/>
        <v>35.742094500000022</v>
      </c>
      <c r="L305" s="135">
        <f t="shared" si="249"/>
        <v>16.054256400000003</v>
      </c>
      <c r="M305" s="135">
        <f t="shared" si="249"/>
        <v>0</v>
      </c>
      <c r="N305" s="135">
        <f t="shared" si="249"/>
        <v>0</v>
      </c>
      <c r="O305" s="135">
        <f t="shared" si="249"/>
        <v>0</v>
      </c>
      <c r="P305" s="135">
        <f t="shared" si="245"/>
        <v>84.403590600000015</v>
      </c>
      <c r="Q305" s="209">
        <f t="shared" si="246"/>
        <v>5.3335602274881523E-2</v>
      </c>
    </row>
    <row r="306" spans="3:17">
      <c r="C306" s="695" t="s">
        <v>952</v>
      </c>
      <c r="D306" s="135">
        <f>IF(D$113=0,0,$I$29*D$45/1000)</f>
        <v>0</v>
      </c>
      <c r="E306" s="135">
        <f t="shared" ref="E306:O306" si="250">IF(E$113=0,0,$I$29*E$45/1000)</f>
        <v>0</v>
      </c>
      <c r="F306" s="135">
        <f t="shared" si="250"/>
        <v>0</v>
      </c>
      <c r="G306" s="135">
        <f t="shared" si="250"/>
        <v>0</v>
      </c>
      <c r="H306" s="135">
        <f t="shared" si="250"/>
        <v>0</v>
      </c>
      <c r="I306" s="135">
        <f t="shared" si="250"/>
        <v>0</v>
      </c>
      <c r="J306" s="135">
        <f t="shared" si="250"/>
        <v>0</v>
      </c>
      <c r="K306" s="135">
        <f t="shared" si="250"/>
        <v>0</v>
      </c>
      <c r="L306" s="135">
        <f t="shared" si="250"/>
        <v>0</v>
      </c>
      <c r="M306" s="135">
        <f t="shared" si="250"/>
        <v>0</v>
      </c>
      <c r="N306" s="135">
        <f t="shared" si="250"/>
        <v>0</v>
      </c>
      <c r="O306" s="135">
        <f t="shared" si="250"/>
        <v>0</v>
      </c>
      <c r="P306" s="135">
        <f t="shared" si="245"/>
        <v>0</v>
      </c>
      <c r="Q306" s="209">
        <f t="shared" si="246"/>
        <v>0</v>
      </c>
    </row>
    <row r="307" spans="3:17">
      <c r="C307" s="695" t="s">
        <v>953</v>
      </c>
      <c r="D307" s="135">
        <f>IF(D$113=0,0,$J$29*D$45/1000)</f>
        <v>0</v>
      </c>
      <c r="E307" s="135">
        <f t="shared" ref="E307:O307" si="251">IF(E$113=0,0,$J$29*E$45/1000)</f>
        <v>0</v>
      </c>
      <c r="F307" s="135">
        <f t="shared" si="251"/>
        <v>0</v>
      </c>
      <c r="G307" s="135">
        <f t="shared" si="251"/>
        <v>0</v>
      </c>
      <c r="H307" s="135">
        <f t="shared" si="251"/>
        <v>0</v>
      </c>
      <c r="I307" s="135">
        <f t="shared" si="251"/>
        <v>0</v>
      </c>
      <c r="J307" s="135">
        <f t="shared" si="251"/>
        <v>0</v>
      </c>
      <c r="K307" s="135">
        <f t="shared" si="251"/>
        <v>0</v>
      </c>
      <c r="L307" s="135">
        <f t="shared" si="251"/>
        <v>0</v>
      </c>
      <c r="M307" s="135">
        <f t="shared" si="251"/>
        <v>0</v>
      </c>
      <c r="N307" s="135">
        <f t="shared" si="251"/>
        <v>0</v>
      </c>
      <c r="O307" s="135">
        <f t="shared" si="251"/>
        <v>0</v>
      </c>
      <c r="P307" s="135">
        <f t="shared" si="245"/>
        <v>0</v>
      </c>
      <c r="Q307" s="209">
        <f t="shared" si="246"/>
        <v>0</v>
      </c>
    </row>
    <row r="308" spans="3:17">
      <c r="C308" s="695" t="s">
        <v>954</v>
      </c>
      <c r="D308" s="135">
        <f>IF(D$113=0,0,$K$29*D$45/1000)</f>
        <v>0</v>
      </c>
      <c r="E308" s="135">
        <f t="shared" ref="E308:O308" si="252">IF(E$113=0,0,$K$29*E$45/1000)</f>
        <v>0</v>
      </c>
      <c r="F308" s="135">
        <f t="shared" si="252"/>
        <v>0</v>
      </c>
      <c r="G308" s="135">
        <f t="shared" si="252"/>
        <v>0</v>
      </c>
      <c r="H308" s="135">
        <f t="shared" si="252"/>
        <v>0</v>
      </c>
      <c r="I308" s="135">
        <f t="shared" si="252"/>
        <v>0</v>
      </c>
      <c r="J308" s="135">
        <f t="shared" si="252"/>
        <v>0</v>
      </c>
      <c r="K308" s="135">
        <f t="shared" si="252"/>
        <v>0</v>
      </c>
      <c r="L308" s="135">
        <f t="shared" si="252"/>
        <v>0</v>
      </c>
      <c r="M308" s="135">
        <f t="shared" si="252"/>
        <v>0</v>
      </c>
      <c r="N308" s="135">
        <f t="shared" si="252"/>
        <v>0</v>
      </c>
      <c r="O308" s="135">
        <f t="shared" si="252"/>
        <v>0</v>
      </c>
      <c r="P308" s="135">
        <f t="shared" si="245"/>
        <v>0</v>
      </c>
      <c r="Q308" s="209">
        <f t="shared" si="246"/>
        <v>0</v>
      </c>
    </row>
    <row r="309" spans="3:17">
      <c r="C309" s="695" t="str">
        <f>CONCATENATE("Trans.Gains windows ",L13)</f>
        <v>Trans.Gains windows wall 1</v>
      </c>
      <c r="D309" s="135">
        <f>IF(D$113=0,0,$L$29*D$45/1000)</f>
        <v>0</v>
      </c>
      <c r="E309" s="135">
        <f t="shared" ref="E309:O309" si="253">IF(E$113=0,0,$L$29*E$45/1000)</f>
        <v>0</v>
      </c>
      <c r="F309" s="135">
        <f t="shared" si="253"/>
        <v>0</v>
      </c>
      <c r="G309" s="135">
        <f t="shared" si="253"/>
        <v>0</v>
      </c>
      <c r="H309" s="135">
        <f t="shared" si="253"/>
        <v>0</v>
      </c>
      <c r="I309" s="135">
        <f t="shared" si="253"/>
        <v>0</v>
      </c>
      <c r="J309" s="135">
        <f t="shared" si="253"/>
        <v>0</v>
      </c>
      <c r="K309" s="135">
        <f t="shared" si="253"/>
        <v>0</v>
      </c>
      <c r="L309" s="135">
        <f t="shared" si="253"/>
        <v>0</v>
      </c>
      <c r="M309" s="135">
        <f t="shared" si="253"/>
        <v>0</v>
      </c>
      <c r="N309" s="135">
        <f t="shared" si="253"/>
        <v>0</v>
      </c>
      <c r="O309" s="135">
        <f t="shared" si="253"/>
        <v>0</v>
      </c>
      <c r="P309" s="135">
        <f t="shared" si="245"/>
        <v>0</v>
      </c>
      <c r="Q309" s="209">
        <f t="shared" si="246"/>
        <v>0</v>
      </c>
    </row>
    <row r="310" spans="3:17">
      <c r="C310" s="695" t="str">
        <f>CONCATENATE("Trans.Gains windows ",M13)</f>
        <v>Trans.Gains windows wall 2</v>
      </c>
      <c r="D310" s="135">
        <f t="shared" ref="D310:O310" si="254">IF(D$113=0,0,$M$29*D$45/1000)</f>
        <v>0</v>
      </c>
      <c r="E310" s="135">
        <f t="shared" si="254"/>
        <v>0</v>
      </c>
      <c r="F310" s="135">
        <f t="shared" si="254"/>
        <v>0</v>
      </c>
      <c r="G310" s="135">
        <f t="shared" si="254"/>
        <v>0</v>
      </c>
      <c r="H310" s="135">
        <f t="shared" si="254"/>
        <v>0</v>
      </c>
      <c r="I310" s="135">
        <f t="shared" si="254"/>
        <v>0</v>
      </c>
      <c r="J310" s="135">
        <f t="shared" si="254"/>
        <v>0</v>
      </c>
      <c r="K310" s="135">
        <f t="shared" si="254"/>
        <v>0</v>
      </c>
      <c r="L310" s="135">
        <f t="shared" si="254"/>
        <v>0</v>
      </c>
      <c r="M310" s="135">
        <f t="shared" si="254"/>
        <v>0</v>
      </c>
      <c r="N310" s="135">
        <f t="shared" si="254"/>
        <v>0</v>
      </c>
      <c r="O310" s="135">
        <f t="shared" si="254"/>
        <v>0</v>
      </c>
      <c r="P310" s="135">
        <f t="shared" si="245"/>
        <v>0</v>
      </c>
      <c r="Q310" s="209">
        <f t="shared" si="246"/>
        <v>0</v>
      </c>
    </row>
    <row r="311" spans="3:17">
      <c r="C311" s="695" t="str">
        <f>CONCATENATE("Trans.Gains windows ",N13)</f>
        <v>Trans.Gains windows wall 3</v>
      </c>
      <c r="D311" s="135">
        <f>IF(D$113=0,0,$N$29*D$45/1000)</f>
        <v>0</v>
      </c>
      <c r="E311" s="135">
        <f t="shared" ref="E311:O311" si="255">IF(E$113=0,0,$N$29*E$45/1000)</f>
        <v>0</v>
      </c>
      <c r="F311" s="135">
        <f t="shared" si="255"/>
        <v>0</v>
      </c>
      <c r="G311" s="135">
        <f t="shared" si="255"/>
        <v>0</v>
      </c>
      <c r="H311" s="135">
        <f t="shared" si="255"/>
        <v>0</v>
      </c>
      <c r="I311" s="135">
        <f t="shared" si="255"/>
        <v>0</v>
      </c>
      <c r="J311" s="135">
        <f t="shared" si="255"/>
        <v>0</v>
      </c>
      <c r="K311" s="135">
        <f t="shared" si="255"/>
        <v>0</v>
      </c>
      <c r="L311" s="135">
        <f t="shared" si="255"/>
        <v>0</v>
      </c>
      <c r="M311" s="135">
        <f t="shared" si="255"/>
        <v>0</v>
      </c>
      <c r="N311" s="135">
        <f t="shared" si="255"/>
        <v>0</v>
      </c>
      <c r="O311" s="135">
        <f t="shared" si="255"/>
        <v>0</v>
      </c>
      <c r="P311" s="135">
        <f t="shared" si="245"/>
        <v>0</v>
      </c>
      <c r="Q311" s="209">
        <f t="shared" si="246"/>
        <v>0</v>
      </c>
    </row>
    <row r="312" spans="3:17">
      <c r="C312" s="695" t="str">
        <f>CONCATENATE("Trans.Gains windows ",O13)</f>
        <v>Trans.Gains windows wall 4</v>
      </c>
      <c r="D312" s="135">
        <f>IF(D$113=0,0,$O$29*D$45/1000)</f>
        <v>0</v>
      </c>
      <c r="E312" s="135">
        <f t="shared" ref="E312:O312" si="256">IF(E$113=0,0,$O$29*E$45/1000)</f>
        <v>0</v>
      </c>
      <c r="F312" s="135">
        <f t="shared" si="256"/>
        <v>0</v>
      </c>
      <c r="G312" s="135">
        <f t="shared" si="256"/>
        <v>0</v>
      </c>
      <c r="H312" s="135">
        <f t="shared" si="256"/>
        <v>0</v>
      </c>
      <c r="I312" s="135">
        <f t="shared" si="256"/>
        <v>0</v>
      </c>
      <c r="J312" s="135">
        <f t="shared" si="256"/>
        <v>0</v>
      </c>
      <c r="K312" s="135">
        <f t="shared" si="256"/>
        <v>0</v>
      </c>
      <c r="L312" s="135">
        <f t="shared" si="256"/>
        <v>0</v>
      </c>
      <c r="M312" s="135">
        <f t="shared" si="256"/>
        <v>0</v>
      </c>
      <c r="N312" s="135">
        <f t="shared" si="256"/>
        <v>0</v>
      </c>
      <c r="O312" s="135">
        <f t="shared" si="256"/>
        <v>0</v>
      </c>
      <c r="P312" s="135">
        <f t="shared" si="245"/>
        <v>0</v>
      </c>
      <c r="Q312" s="209">
        <f t="shared" si="246"/>
        <v>0</v>
      </c>
    </row>
    <row r="313" spans="3:17">
      <c r="C313" s="708" t="s">
        <v>33</v>
      </c>
      <c r="D313" s="699">
        <f>SUM(D301:D312)</f>
        <v>0</v>
      </c>
      <c r="E313" s="699">
        <f t="shared" ref="E313:O313" si="257">SUM(E301:E312)</f>
        <v>0</v>
      </c>
      <c r="F313" s="699">
        <f t="shared" si="257"/>
        <v>0</v>
      </c>
      <c r="G313" s="699">
        <f t="shared" si="257"/>
        <v>0</v>
      </c>
      <c r="H313" s="699">
        <f t="shared" si="257"/>
        <v>0</v>
      </c>
      <c r="I313" s="699">
        <f t="shared" si="257"/>
        <v>9.4488114000000003</v>
      </c>
      <c r="J313" s="699">
        <f t="shared" si="257"/>
        <v>105.358428</v>
      </c>
      <c r="K313" s="699">
        <f t="shared" si="257"/>
        <v>125.84478900000006</v>
      </c>
      <c r="L313" s="699">
        <f t="shared" si="257"/>
        <v>56.525632800000011</v>
      </c>
      <c r="M313" s="699">
        <f t="shared" si="257"/>
        <v>0</v>
      </c>
      <c r="N313" s="699">
        <f t="shared" si="257"/>
        <v>0</v>
      </c>
      <c r="O313" s="699">
        <f t="shared" si="257"/>
        <v>0</v>
      </c>
      <c r="P313" s="699">
        <f t="shared" si="245"/>
        <v>297.1776612000001</v>
      </c>
      <c r="Q313" s="388">
        <f t="shared" si="246"/>
        <v>0.18778999127962093</v>
      </c>
    </row>
    <row r="314" spans="3:17">
      <c r="C314" s="708" t="s">
        <v>915</v>
      </c>
      <c r="D314" s="699">
        <f>D313-D155</f>
        <v>0</v>
      </c>
      <c r="E314" s="699">
        <f t="shared" ref="E314:O314" si="258">E313-E155</f>
        <v>0</v>
      </c>
      <c r="F314" s="699">
        <f t="shared" si="258"/>
        <v>0</v>
      </c>
      <c r="G314" s="699">
        <f t="shared" si="258"/>
        <v>0</v>
      </c>
      <c r="H314" s="699">
        <f t="shared" si="258"/>
        <v>0</v>
      </c>
      <c r="I314" s="699">
        <f t="shared" si="258"/>
        <v>0</v>
      </c>
      <c r="J314" s="699">
        <f t="shared" si="258"/>
        <v>0</v>
      </c>
      <c r="K314" s="699">
        <f t="shared" si="258"/>
        <v>0</v>
      </c>
      <c r="L314" s="699">
        <f t="shared" si="258"/>
        <v>0</v>
      </c>
      <c r="M314" s="699">
        <f t="shared" si="258"/>
        <v>0</v>
      </c>
      <c r="N314" s="699">
        <f t="shared" si="258"/>
        <v>0</v>
      </c>
      <c r="O314" s="699">
        <f t="shared" si="258"/>
        <v>0</v>
      </c>
      <c r="P314" s="472"/>
      <c r="Q314" s="472"/>
    </row>
  </sheetData>
  <sheetProtection password="D60A" sheet="1" objects="1" scenarios="1"/>
  <phoneticPr fontId="2" type="noConversion"/>
  <dataValidations disablePrompts="1" xWindow="519" yWindow="201" count="1">
    <dataValidation type="decimal" errorStyle="warning" showInputMessage="1" showErrorMessage="1" error="El valor ha d'estar entre 100 i 500" prompt="Escollir un valor 100 = molt baixa; 150 = baixa; 400 = alta ;mes de 400 molt alta" sqref="D4">
      <formula1>100</formula1>
      <formula2>500</formula2>
    </dataValidation>
  </dataValidations>
  <pageMargins left="0.67" right="0.75" top="0.43" bottom="1" header="0" footer="0"/>
  <pageSetup paperSize="9" scale="70" orientation="landscape" r:id="rId1"/>
  <headerFooter alignWithMargins="0"/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91"/>
  <sheetViews>
    <sheetView zoomScale="80" zoomScaleNormal="80" workbookViewId="0">
      <pane xSplit="1" ySplit="2" topLeftCell="EA3" activePane="bottomRight" state="frozenSplit"/>
      <selection activeCell="K25" sqref="K25"/>
      <selection pane="topRight" activeCell="K25" sqref="K25"/>
      <selection pane="bottomLeft" activeCell="K25" sqref="K25"/>
      <selection pane="bottomRight" activeCell="EF110" sqref="EF110"/>
    </sheetView>
  </sheetViews>
  <sheetFormatPr baseColWidth="10" defaultColWidth="11.42578125" defaultRowHeight="12.75"/>
  <cols>
    <col min="1" max="1" width="15.140625" style="1" bestFit="1" customWidth="1"/>
    <col min="2" max="2" width="6.42578125" style="1" bestFit="1" customWidth="1"/>
    <col min="3" max="3" width="8.28515625" style="1" bestFit="1" customWidth="1"/>
    <col min="4" max="4" width="6.7109375" style="1" bestFit="1" customWidth="1"/>
    <col min="5" max="5" width="5.5703125" style="1" bestFit="1" customWidth="1"/>
    <col min="6" max="7" width="6.140625" style="1" bestFit="1" customWidth="1"/>
    <col min="8" max="8" width="5.5703125" style="1" bestFit="1" customWidth="1"/>
    <col min="9" max="9" width="7.28515625" style="1" bestFit="1" customWidth="1"/>
    <col min="10" max="10" width="11.7109375" style="1" bestFit="1" customWidth="1"/>
    <col min="11" max="11" width="8.28515625" style="1" bestFit="1" customWidth="1"/>
    <col min="12" max="12" width="11" style="1" bestFit="1" customWidth="1"/>
    <col min="13" max="13" width="10.42578125" style="1" bestFit="1" customWidth="1"/>
    <col min="14" max="25" width="10.28515625" style="1" customWidth="1"/>
    <col min="26" max="26" width="6.28515625" style="1" bestFit="1" customWidth="1"/>
    <col min="27" max="27" width="8.140625" style="1" bestFit="1" customWidth="1"/>
    <col min="28" max="28" width="6.5703125" style="1" bestFit="1" customWidth="1"/>
    <col min="29" max="29" width="5.5703125" style="1" bestFit="1" customWidth="1"/>
    <col min="30" max="30" width="5.85546875" style="1" bestFit="1" customWidth="1"/>
    <col min="31" max="31" width="6" style="1" bestFit="1" customWidth="1"/>
    <col min="32" max="32" width="5.5703125" style="1" bestFit="1" customWidth="1"/>
    <col min="33" max="33" width="7.140625" style="1" bestFit="1" customWidth="1"/>
    <col min="34" max="34" width="11.5703125" style="1" bestFit="1" customWidth="1"/>
    <col min="35" max="35" width="8.140625" style="1" bestFit="1" customWidth="1"/>
    <col min="36" max="36" width="10.85546875" style="1" bestFit="1" customWidth="1"/>
    <col min="37" max="37" width="10.28515625" style="1" bestFit="1" customWidth="1"/>
    <col min="38" max="38" width="6.28515625" style="1" bestFit="1" customWidth="1"/>
    <col min="39" max="39" width="8.140625" style="1" bestFit="1" customWidth="1"/>
    <col min="40" max="40" width="6.5703125" style="1" bestFit="1" customWidth="1"/>
    <col min="41" max="41" width="5.5703125" style="1" bestFit="1" customWidth="1"/>
    <col min="42" max="42" width="5.85546875" style="1" bestFit="1" customWidth="1"/>
    <col min="43" max="43" width="6" style="1" bestFit="1" customWidth="1"/>
    <col min="44" max="44" width="5.5703125" style="1" bestFit="1" customWidth="1"/>
    <col min="45" max="45" width="7.140625" style="1" bestFit="1" customWidth="1"/>
    <col min="46" max="46" width="11.5703125" style="1" bestFit="1" customWidth="1"/>
    <col min="47" max="47" width="8.140625" style="1" bestFit="1" customWidth="1"/>
    <col min="48" max="48" width="10.85546875" style="1" bestFit="1" customWidth="1"/>
    <col min="49" max="49" width="10.28515625" style="1" bestFit="1" customWidth="1"/>
    <col min="50" max="50" width="6.28515625" style="1" bestFit="1" customWidth="1"/>
    <col min="51" max="51" width="8.140625" style="1" bestFit="1" customWidth="1"/>
    <col min="52" max="52" width="6.5703125" style="1" bestFit="1" customWidth="1"/>
    <col min="53" max="53" width="5.5703125" style="1" bestFit="1" customWidth="1"/>
    <col min="54" max="54" width="5.85546875" style="1" bestFit="1" customWidth="1"/>
    <col min="55" max="55" width="6" style="1" bestFit="1" customWidth="1"/>
    <col min="56" max="56" width="5.5703125" style="1" bestFit="1" customWidth="1"/>
    <col min="57" max="57" width="7.140625" style="1" bestFit="1" customWidth="1"/>
    <col min="58" max="58" width="11.5703125" style="1" bestFit="1" customWidth="1"/>
    <col min="59" max="59" width="8.140625" style="1" bestFit="1" customWidth="1"/>
    <col min="60" max="60" width="10.85546875" style="1" bestFit="1" customWidth="1"/>
    <col min="61" max="61" width="10.28515625" style="1" bestFit="1" customWidth="1"/>
    <col min="62" max="62" width="6.28515625" style="1" bestFit="1" customWidth="1"/>
    <col min="63" max="63" width="8.140625" style="1" bestFit="1" customWidth="1"/>
    <col min="64" max="64" width="6.5703125" style="1" bestFit="1" customWidth="1"/>
    <col min="65" max="65" width="5.5703125" style="1" bestFit="1" customWidth="1"/>
    <col min="66" max="66" width="5.85546875" style="1" bestFit="1" customWidth="1"/>
    <col min="67" max="67" width="6" style="1" bestFit="1" customWidth="1"/>
    <col min="68" max="68" width="5.5703125" style="1" bestFit="1" customWidth="1"/>
    <col min="69" max="69" width="7.140625" style="1" bestFit="1" customWidth="1"/>
    <col min="70" max="70" width="11.5703125" style="1" bestFit="1" customWidth="1"/>
    <col min="71" max="71" width="8.140625" style="1" bestFit="1" customWidth="1"/>
    <col min="72" max="72" width="10.85546875" style="1" bestFit="1" customWidth="1"/>
    <col min="73" max="73" width="10.28515625" style="1" bestFit="1" customWidth="1"/>
    <col min="74" max="74" width="6.28515625" style="1" bestFit="1" customWidth="1"/>
    <col min="75" max="75" width="8.140625" style="1" bestFit="1" customWidth="1"/>
    <col min="76" max="76" width="6.5703125" style="1" bestFit="1" customWidth="1"/>
    <col min="77" max="77" width="5.5703125" style="1" bestFit="1" customWidth="1"/>
    <col min="78" max="78" width="5.85546875" style="1" bestFit="1" customWidth="1"/>
    <col min="79" max="79" width="6" style="1" bestFit="1" customWidth="1"/>
    <col min="80" max="80" width="5.5703125" style="1" bestFit="1" customWidth="1"/>
    <col min="81" max="81" width="7.140625" style="1" bestFit="1" customWidth="1"/>
    <col min="82" max="82" width="11.5703125" style="1" bestFit="1" customWidth="1"/>
    <col min="83" max="83" width="8.140625" style="1" bestFit="1" customWidth="1"/>
    <col min="84" max="84" width="10.85546875" style="1" bestFit="1" customWidth="1"/>
    <col min="85" max="85" width="10.28515625" style="1" bestFit="1" customWidth="1"/>
    <col min="86" max="133" width="10.28515625" style="1" customWidth="1"/>
    <col min="134" max="134" width="6" style="1" bestFit="1" customWidth="1"/>
    <col min="135" max="135" width="10" style="1" bestFit="1" customWidth="1"/>
    <col min="136" max="138" width="5.5703125" style="1" bestFit="1" customWidth="1"/>
    <col min="139" max="141" width="6.5703125" style="1" bestFit="1" customWidth="1"/>
    <col min="142" max="142" width="7.140625" style="1" bestFit="1" customWidth="1"/>
    <col min="143" max="148" width="5.5703125" style="1" bestFit="1" customWidth="1"/>
    <col min="149" max="149" width="26" style="1" bestFit="1" customWidth="1"/>
    <col min="150" max="150" width="22.7109375" style="1" bestFit="1" customWidth="1"/>
    <col min="151" max="16384" width="11.42578125" style="1"/>
  </cols>
  <sheetData>
    <row r="1" spans="1:154">
      <c r="B1" s="811" t="s">
        <v>51</v>
      </c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3"/>
      <c r="N1" s="108" t="s">
        <v>169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814" t="s">
        <v>52</v>
      </c>
      <c r="AA1" s="815"/>
      <c r="AB1" s="815"/>
      <c r="AC1" s="815"/>
      <c r="AD1" s="815"/>
      <c r="AE1" s="815"/>
      <c r="AF1" s="815"/>
      <c r="AG1" s="815"/>
      <c r="AH1" s="815"/>
      <c r="AI1" s="815"/>
      <c r="AJ1" s="815"/>
      <c r="AK1" s="816"/>
      <c r="AL1" s="817" t="s">
        <v>53</v>
      </c>
      <c r="AM1" s="818"/>
      <c r="AN1" s="818"/>
      <c r="AO1" s="818"/>
      <c r="AP1" s="818"/>
      <c r="AQ1" s="818"/>
      <c r="AR1" s="818"/>
      <c r="AS1" s="818"/>
      <c r="AT1" s="818"/>
      <c r="AU1" s="818"/>
      <c r="AV1" s="818"/>
      <c r="AW1" s="819"/>
      <c r="AX1" s="820" t="s">
        <v>54</v>
      </c>
      <c r="AY1" s="821"/>
      <c r="AZ1" s="821"/>
      <c r="BA1" s="821"/>
      <c r="BB1" s="821"/>
      <c r="BC1" s="821"/>
      <c r="BD1" s="821"/>
      <c r="BE1" s="821"/>
      <c r="BF1" s="821"/>
      <c r="BG1" s="821"/>
      <c r="BH1" s="821"/>
      <c r="BI1" s="822"/>
      <c r="BJ1" s="805" t="s">
        <v>55</v>
      </c>
      <c r="BK1" s="806"/>
      <c r="BL1" s="806"/>
      <c r="BM1" s="806"/>
      <c r="BN1" s="806"/>
      <c r="BO1" s="806"/>
      <c r="BP1" s="806"/>
      <c r="BQ1" s="806"/>
      <c r="BR1" s="806"/>
      <c r="BS1" s="806"/>
      <c r="BT1" s="806"/>
      <c r="BU1" s="807"/>
      <c r="BV1" s="808" t="s">
        <v>56</v>
      </c>
      <c r="BW1" s="809"/>
      <c r="BX1" s="809"/>
      <c r="BY1" s="809"/>
      <c r="BZ1" s="809"/>
      <c r="CA1" s="809"/>
      <c r="CB1" s="809"/>
      <c r="CC1" s="809"/>
      <c r="CD1" s="809"/>
      <c r="CE1" s="809"/>
      <c r="CF1" s="809"/>
      <c r="CG1" s="810"/>
      <c r="CH1" s="73" t="s">
        <v>250</v>
      </c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74" t="s">
        <v>251</v>
      </c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82" t="s">
        <v>248</v>
      </c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9" t="s">
        <v>249</v>
      </c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E1" s="527" t="s">
        <v>453</v>
      </c>
      <c r="EF1" s="528"/>
      <c r="EG1" s="528"/>
      <c r="EH1" s="528"/>
      <c r="EI1" s="528"/>
      <c r="EJ1" s="528"/>
      <c r="EK1" s="529"/>
      <c r="EL1" s="530" t="s">
        <v>454</v>
      </c>
      <c r="EM1" s="528"/>
      <c r="EN1" s="528"/>
      <c r="EO1" s="528"/>
      <c r="EP1" s="528"/>
      <c r="EQ1" s="528"/>
      <c r="ER1" s="528"/>
      <c r="ES1" s="532" t="s">
        <v>347</v>
      </c>
      <c r="ET1" s="532" t="s">
        <v>347</v>
      </c>
      <c r="EU1" s="536" t="s">
        <v>347</v>
      </c>
      <c r="EV1" s="536" t="s">
        <v>347</v>
      </c>
      <c r="EW1" s="538" t="s">
        <v>474</v>
      </c>
      <c r="EX1" s="538" t="s">
        <v>474</v>
      </c>
    </row>
    <row r="2" spans="1:154">
      <c r="A2" s="20" t="s">
        <v>273</v>
      </c>
      <c r="B2" s="21" t="s">
        <v>13</v>
      </c>
      <c r="C2" s="14" t="s">
        <v>38</v>
      </c>
      <c r="D2" s="14" t="s">
        <v>39</v>
      </c>
      <c r="E2" s="14" t="s">
        <v>40</v>
      </c>
      <c r="F2" s="14" t="s">
        <v>41</v>
      </c>
      <c r="G2" s="14" t="s">
        <v>42</v>
      </c>
      <c r="H2" s="14" t="s">
        <v>43</v>
      </c>
      <c r="I2" s="14" t="s">
        <v>19</v>
      </c>
      <c r="J2" s="14" t="s">
        <v>44</v>
      </c>
      <c r="K2" s="14" t="s">
        <v>45</v>
      </c>
      <c r="L2" s="14" t="s">
        <v>46</v>
      </c>
      <c r="M2" s="99" t="s">
        <v>47</v>
      </c>
      <c r="N2" s="81" t="s">
        <v>13</v>
      </c>
      <c r="O2" s="81" t="s">
        <v>38</v>
      </c>
      <c r="P2" s="81" t="s">
        <v>39</v>
      </c>
      <c r="Q2" s="81" t="s">
        <v>40</v>
      </c>
      <c r="R2" s="81" t="s">
        <v>41</v>
      </c>
      <c r="S2" s="81" t="s">
        <v>42</v>
      </c>
      <c r="T2" s="81" t="s">
        <v>43</v>
      </c>
      <c r="U2" s="81" t="s">
        <v>19</v>
      </c>
      <c r="V2" s="81" t="s">
        <v>44</v>
      </c>
      <c r="W2" s="81" t="s">
        <v>45</v>
      </c>
      <c r="X2" s="81" t="s">
        <v>46</v>
      </c>
      <c r="Y2" s="81" t="s">
        <v>47</v>
      </c>
      <c r="Z2" s="101" t="s">
        <v>13</v>
      </c>
      <c r="AA2" s="15" t="s">
        <v>38</v>
      </c>
      <c r="AB2" s="15" t="s">
        <v>39</v>
      </c>
      <c r="AC2" s="15" t="s">
        <v>40</v>
      </c>
      <c r="AD2" s="15" t="s">
        <v>41</v>
      </c>
      <c r="AE2" s="15" t="s">
        <v>42</v>
      </c>
      <c r="AF2" s="15" t="s">
        <v>43</v>
      </c>
      <c r="AG2" s="15" t="s">
        <v>19</v>
      </c>
      <c r="AH2" s="15" t="s">
        <v>44</v>
      </c>
      <c r="AI2" s="15" t="s">
        <v>45</v>
      </c>
      <c r="AJ2" s="15" t="s">
        <v>46</v>
      </c>
      <c r="AK2" s="22" t="s">
        <v>47</v>
      </c>
      <c r="AL2" s="27" t="s">
        <v>13</v>
      </c>
      <c r="AM2" s="16" t="s">
        <v>38</v>
      </c>
      <c r="AN2" s="16" t="s">
        <v>39</v>
      </c>
      <c r="AO2" s="16" t="s">
        <v>40</v>
      </c>
      <c r="AP2" s="16" t="s">
        <v>41</v>
      </c>
      <c r="AQ2" s="16" t="s">
        <v>42</v>
      </c>
      <c r="AR2" s="16" t="s">
        <v>43</v>
      </c>
      <c r="AS2" s="16" t="s">
        <v>19</v>
      </c>
      <c r="AT2" s="16" t="s">
        <v>44</v>
      </c>
      <c r="AU2" s="16" t="s">
        <v>45</v>
      </c>
      <c r="AV2" s="16" t="s">
        <v>46</v>
      </c>
      <c r="AW2" s="28" t="s">
        <v>47</v>
      </c>
      <c r="AX2" s="37" t="s">
        <v>13</v>
      </c>
      <c r="AY2" s="17" t="s">
        <v>38</v>
      </c>
      <c r="AZ2" s="17" t="s">
        <v>39</v>
      </c>
      <c r="BA2" s="17" t="s">
        <v>40</v>
      </c>
      <c r="BB2" s="17" t="s">
        <v>41</v>
      </c>
      <c r="BC2" s="17" t="s">
        <v>42</v>
      </c>
      <c r="BD2" s="17" t="s">
        <v>43</v>
      </c>
      <c r="BE2" s="17" t="s">
        <v>19</v>
      </c>
      <c r="BF2" s="17" t="s">
        <v>44</v>
      </c>
      <c r="BG2" s="17" t="s">
        <v>45</v>
      </c>
      <c r="BH2" s="17" t="s">
        <v>46</v>
      </c>
      <c r="BI2" s="38" t="s">
        <v>47</v>
      </c>
      <c r="BJ2" s="47" t="s">
        <v>13</v>
      </c>
      <c r="BK2" s="18" t="s">
        <v>38</v>
      </c>
      <c r="BL2" s="18" t="s">
        <v>39</v>
      </c>
      <c r="BM2" s="18" t="s">
        <v>40</v>
      </c>
      <c r="BN2" s="18" t="s">
        <v>41</v>
      </c>
      <c r="BO2" s="18" t="s">
        <v>42</v>
      </c>
      <c r="BP2" s="18" t="s">
        <v>43</v>
      </c>
      <c r="BQ2" s="18" t="s">
        <v>19</v>
      </c>
      <c r="BR2" s="18" t="s">
        <v>44</v>
      </c>
      <c r="BS2" s="18" t="s">
        <v>45</v>
      </c>
      <c r="BT2" s="18" t="s">
        <v>46</v>
      </c>
      <c r="BU2" s="48" t="s">
        <v>47</v>
      </c>
      <c r="BV2" s="56" t="s">
        <v>13</v>
      </c>
      <c r="BW2" s="19" t="s">
        <v>38</v>
      </c>
      <c r="BX2" s="19" t="s">
        <v>39</v>
      </c>
      <c r="BY2" s="19" t="s">
        <v>40</v>
      </c>
      <c r="BZ2" s="19" t="s">
        <v>41</v>
      </c>
      <c r="CA2" s="19" t="s">
        <v>42</v>
      </c>
      <c r="CB2" s="19" t="s">
        <v>43</v>
      </c>
      <c r="CC2" s="19" t="s">
        <v>19</v>
      </c>
      <c r="CD2" s="19" t="s">
        <v>44</v>
      </c>
      <c r="CE2" s="19" t="s">
        <v>45</v>
      </c>
      <c r="CF2" s="19" t="s">
        <v>46</v>
      </c>
      <c r="CG2" s="62" t="s">
        <v>47</v>
      </c>
      <c r="CH2" s="68" t="s">
        <v>13</v>
      </c>
      <c r="CI2" s="69" t="s">
        <v>38</v>
      </c>
      <c r="CJ2" s="69" t="s">
        <v>39</v>
      </c>
      <c r="CK2" s="69" t="s">
        <v>40</v>
      </c>
      <c r="CL2" s="69" t="s">
        <v>41</v>
      </c>
      <c r="CM2" s="69" t="s">
        <v>42</v>
      </c>
      <c r="CN2" s="69" t="s">
        <v>43</v>
      </c>
      <c r="CO2" s="69" t="s">
        <v>19</v>
      </c>
      <c r="CP2" s="69" t="s">
        <v>44</v>
      </c>
      <c r="CQ2" s="69" t="s">
        <v>45</v>
      </c>
      <c r="CR2" s="69" t="s">
        <v>46</v>
      </c>
      <c r="CS2" s="70" t="s">
        <v>47</v>
      </c>
      <c r="CT2" s="76" t="s">
        <v>13</v>
      </c>
      <c r="CU2" s="77" t="s">
        <v>38</v>
      </c>
      <c r="CV2" s="77" t="s">
        <v>39</v>
      </c>
      <c r="CW2" s="77" t="s">
        <v>40</v>
      </c>
      <c r="CX2" s="77" t="s">
        <v>41</v>
      </c>
      <c r="CY2" s="77" t="s">
        <v>42</v>
      </c>
      <c r="CZ2" s="77" t="s">
        <v>43</v>
      </c>
      <c r="DA2" s="77" t="s">
        <v>19</v>
      </c>
      <c r="DB2" s="77" t="s">
        <v>44</v>
      </c>
      <c r="DC2" s="77" t="s">
        <v>45</v>
      </c>
      <c r="DD2" s="77" t="s">
        <v>46</v>
      </c>
      <c r="DE2" s="78" t="s">
        <v>47</v>
      </c>
      <c r="DF2" s="84" t="s">
        <v>13</v>
      </c>
      <c r="DG2" s="85" t="s">
        <v>38</v>
      </c>
      <c r="DH2" s="85" t="s">
        <v>39</v>
      </c>
      <c r="DI2" s="85" t="s">
        <v>40</v>
      </c>
      <c r="DJ2" s="85" t="s">
        <v>41</v>
      </c>
      <c r="DK2" s="85" t="s">
        <v>42</v>
      </c>
      <c r="DL2" s="85" t="s">
        <v>43</v>
      </c>
      <c r="DM2" s="85" t="s">
        <v>19</v>
      </c>
      <c r="DN2" s="85" t="s">
        <v>44</v>
      </c>
      <c r="DO2" s="85" t="s">
        <v>45</v>
      </c>
      <c r="DP2" s="85" t="s">
        <v>46</v>
      </c>
      <c r="DQ2" s="86" t="s">
        <v>47</v>
      </c>
      <c r="DR2" s="91" t="s">
        <v>13</v>
      </c>
      <c r="DS2" s="92" t="s">
        <v>38</v>
      </c>
      <c r="DT2" s="92" t="s">
        <v>39</v>
      </c>
      <c r="DU2" s="92" t="s">
        <v>40</v>
      </c>
      <c r="DV2" s="92" t="s">
        <v>41</v>
      </c>
      <c r="DW2" s="92" t="s">
        <v>42</v>
      </c>
      <c r="DX2" s="92" t="s">
        <v>43</v>
      </c>
      <c r="DY2" s="92" t="s">
        <v>19</v>
      </c>
      <c r="DZ2" s="92" t="s">
        <v>44</v>
      </c>
      <c r="EA2" s="92" t="s">
        <v>45</v>
      </c>
      <c r="EB2" s="92" t="s">
        <v>46</v>
      </c>
      <c r="EC2" s="93" t="s">
        <v>47</v>
      </c>
      <c r="ED2" s="62" t="s">
        <v>154</v>
      </c>
      <c r="EE2" s="541" t="s">
        <v>456</v>
      </c>
      <c r="EF2" s="541" t="s">
        <v>457</v>
      </c>
      <c r="EG2" s="541" t="s">
        <v>9</v>
      </c>
      <c r="EH2" s="541" t="s">
        <v>458</v>
      </c>
      <c r="EI2" s="541" t="s">
        <v>459</v>
      </c>
      <c r="EJ2" s="541" t="s">
        <v>460</v>
      </c>
      <c r="EK2" s="541" t="s">
        <v>455</v>
      </c>
      <c r="EL2" s="544" t="s">
        <v>456</v>
      </c>
      <c r="EM2" s="544" t="s">
        <v>457</v>
      </c>
      <c r="EN2" s="544" t="s">
        <v>9</v>
      </c>
      <c r="EO2" s="544" t="s">
        <v>458</v>
      </c>
      <c r="EP2" s="544" t="s">
        <v>459</v>
      </c>
      <c r="EQ2" s="544" t="s">
        <v>460</v>
      </c>
      <c r="ER2" s="544" t="s">
        <v>455</v>
      </c>
      <c r="ES2" s="532" t="s">
        <v>466</v>
      </c>
      <c r="ET2" s="532" t="s">
        <v>467</v>
      </c>
      <c r="EU2" s="536" t="s">
        <v>468</v>
      </c>
      <c r="EV2" s="536" t="s">
        <v>469</v>
      </c>
      <c r="EW2" s="539" t="s">
        <v>470</v>
      </c>
      <c r="EX2" s="539" t="s">
        <v>471</v>
      </c>
    </row>
    <row r="3" spans="1:154" hidden="1">
      <c r="A3" s="220" t="s">
        <v>313</v>
      </c>
      <c r="B3" s="96">
        <v>4.8997419354838696</v>
      </c>
      <c r="C3" s="97">
        <v>6.2694285714285716</v>
      </c>
      <c r="D3" s="97">
        <v>8.3969032258064527</v>
      </c>
      <c r="E3" s="97">
        <v>10.779466666666666</v>
      </c>
      <c r="F3" s="97">
        <v>15.121419354838709</v>
      </c>
      <c r="G3" s="97">
        <v>19.800799999999999</v>
      </c>
      <c r="H3" s="97">
        <v>23.870580645161294</v>
      </c>
      <c r="I3" s="97">
        <v>23.510451612903228</v>
      </c>
      <c r="J3" s="97">
        <v>19.880800000000004</v>
      </c>
      <c r="K3" s="97">
        <v>14.00116129032258</v>
      </c>
      <c r="L3" s="97">
        <v>8.4567999999999977</v>
      </c>
      <c r="M3" s="100">
        <v>5.23813440860215</v>
      </c>
      <c r="N3" s="106">
        <v>5.63</v>
      </c>
      <c r="O3" s="106">
        <v>4.8600000000000003</v>
      </c>
      <c r="P3" s="106">
        <v>6.23</v>
      </c>
      <c r="Q3" s="106">
        <v>8.3699999999999992</v>
      </c>
      <c r="R3" s="106">
        <v>13.97</v>
      </c>
      <c r="S3" s="106">
        <v>18.29</v>
      </c>
      <c r="T3" s="106">
        <v>21.2</v>
      </c>
      <c r="U3" s="106">
        <v>22.09</v>
      </c>
      <c r="V3" s="106">
        <v>20.58</v>
      </c>
      <c r="W3" s="106">
        <v>17.22</v>
      </c>
      <c r="X3" s="106">
        <v>12.74</v>
      </c>
      <c r="Y3" s="106">
        <v>8.58</v>
      </c>
      <c r="Z3" s="102">
        <v>2153.1290322580644</v>
      </c>
      <c r="AA3" s="4">
        <v>3043.7857142857142</v>
      </c>
      <c r="AB3" s="4">
        <v>4147.0967741935483</v>
      </c>
      <c r="AC3" s="4">
        <v>5204.1333333333332</v>
      </c>
      <c r="AD3" s="4">
        <v>6246.9354838709678</v>
      </c>
      <c r="AE3" s="4">
        <v>6938.0333333333338</v>
      </c>
      <c r="AF3" s="4">
        <v>7362.9032258064517</v>
      </c>
      <c r="AG3" s="4">
        <v>6547.9032258064517</v>
      </c>
      <c r="AH3" s="4">
        <v>5051.8</v>
      </c>
      <c r="AI3" s="4">
        <v>3605.0645161290322</v>
      </c>
      <c r="AJ3" s="4">
        <v>2421.1999999999998</v>
      </c>
      <c r="AK3" s="23">
        <v>1938.1612903225807</v>
      </c>
      <c r="AL3" s="29">
        <v>3528.0628934660253</v>
      </c>
      <c r="AM3" s="6">
        <v>3786.8673266507049</v>
      </c>
      <c r="AN3" s="6">
        <v>3588.6090111323897</v>
      </c>
      <c r="AO3" s="6">
        <v>3003.397594321108</v>
      </c>
      <c r="AP3" s="6">
        <v>2690.250799374478</v>
      </c>
      <c r="AQ3" s="6">
        <v>2584.6322595315755</v>
      </c>
      <c r="AR3" s="6">
        <v>2796.0452099925533</v>
      </c>
      <c r="AS3" s="6">
        <v>3250.5018603011026</v>
      </c>
      <c r="AT3" s="6">
        <v>3763.1580243621024</v>
      </c>
      <c r="AU3" s="6">
        <v>4089.8049123555938</v>
      </c>
      <c r="AV3" s="6">
        <v>3736.9795674777947</v>
      </c>
      <c r="AW3" s="30">
        <v>3450.4482575335651</v>
      </c>
      <c r="AX3" s="39">
        <v>2793.170586121129</v>
      </c>
      <c r="AY3" s="8">
        <v>3224.9267480665976</v>
      </c>
      <c r="AZ3" s="8">
        <v>3494.5428293683021</v>
      </c>
      <c r="BA3" s="8">
        <v>3498.9107545405791</v>
      </c>
      <c r="BB3" s="8">
        <v>3544.6227900535655</v>
      </c>
      <c r="BC3" s="8">
        <v>3609.3071288946398</v>
      </c>
      <c r="BD3" s="8">
        <v>3947.3508824263222</v>
      </c>
      <c r="BE3" s="8">
        <v>4118.1070771870163</v>
      </c>
      <c r="BF3" s="8">
        <v>3956.1938297961888</v>
      </c>
      <c r="BG3" s="8">
        <v>3604.5846142217079</v>
      </c>
      <c r="BH3" s="8">
        <v>3001.9142854563765</v>
      </c>
      <c r="BI3" s="40">
        <v>2686.862583298238</v>
      </c>
      <c r="BJ3" s="49">
        <v>1668.2744495494353</v>
      </c>
      <c r="BK3" s="10">
        <v>2246.5299494307692</v>
      </c>
      <c r="BL3" s="10">
        <v>2894.7509885973523</v>
      </c>
      <c r="BM3" s="10">
        <v>3439.4948522994332</v>
      </c>
      <c r="BN3" s="10">
        <v>3978.8223200659054</v>
      </c>
      <c r="BO3" s="10">
        <v>4347.1939285647913</v>
      </c>
      <c r="BP3" s="10">
        <v>4668.1275249950959</v>
      </c>
      <c r="BQ3" s="10">
        <v>4301.0892768471385</v>
      </c>
      <c r="BR3" s="10">
        <v>3483.5506407317453</v>
      </c>
      <c r="BS3" s="10">
        <v>2633.5298665199302</v>
      </c>
      <c r="BT3" s="10">
        <v>1858.977130436889</v>
      </c>
      <c r="BU3" s="50">
        <v>1526.953121458052</v>
      </c>
      <c r="BV3" s="57">
        <v>641.5900855174342</v>
      </c>
      <c r="BW3" s="12">
        <v>878.22396758969921</v>
      </c>
      <c r="BX3" s="12">
        <v>1183.3607700411378</v>
      </c>
      <c r="BY3" s="12">
        <v>1502.5673950861903</v>
      </c>
      <c r="BZ3" s="12">
        <v>1746.4405095079439</v>
      </c>
      <c r="CA3" s="12">
        <v>1851.127229888541</v>
      </c>
      <c r="CB3" s="12">
        <v>1793.8455041913899</v>
      </c>
      <c r="CC3" s="12">
        <v>1605.7307430413007</v>
      </c>
      <c r="CD3" s="12">
        <v>1313.0815952199846</v>
      </c>
      <c r="CE3" s="12">
        <v>977.86800577117936</v>
      </c>
      <c r="CF3" s="12">
        <v>700.9323625468154</v>
      </c>
      <c r="CG3" s="63">
        <v>579.37285683539437</v>
      </c>
      <c r="CH3" s="71">
        <v>10440.899999999998</v>
      </c>
      <c r="CI3" s="71">
        <v>8500.4000000000087</v>
      </c>
      <c r="CJ3" s="71">
        <v>7820.2000000000016</v>
      </c>
      <c r="CK3" s="71">
        <v>5879.599999999994</v>
      </c>
      <c r="CL3" s="71">
        <v>3409.0000000000005</v>
      </c>
      <c r="CM3" s="71">
        <v>1363.1999999999994</v>
      </c>
      <c r="CN3" s="71">
        <v>331.50000000000017</v>
      </c>
      <c r="CO3" s="71">
        <v>372.00000000000034</v>
      </c>
      <c r="CP3" s="71">
        <v>1180.0000000000005</v>
      </c>
      <c r="CQ3" s="71">
        <v>3920.3999999999983</v>
      </c>
      <c r="CR3" s="71">
        <v>7546.4999999999945</v>
      </c>
      <c r="CS3" s="71">
        <v>10189.100000000006</v>
      </c>
      <c r="CT3" s="79">
        <v>0</v>
      </c>
      <c r="CU3" s="79">
        <v>0</v>
      </c>
      <c r="CV3" s="79">
        <v>6.1000000000000014</v>
      </c>
      <c r="CW3" s="79">
        <v>47.6</v>
      </c>
      <c r="CX3" s="79">
        <v>623.39999999999975</v>
      </c>
      <c r="CY3" s="79">
        <v>2051.5000000000005</v>
      </c>
      <c r="CZ3" s="79">
        <v>4080.7999999999975</v>
      </c>
      <c r="DA3" s="79">
        <v>3843.1999999999994</v>
      </c>
      <c r="DB3" s="79">
        <v>1910.6000000000013</v>
      </c>
      <c r="DC3" s="79">
        <v>281.70000000000005</v>
      </c>
      <c r="DD3" s="79">
        <v>13.700000000000003</v>
      </c>
      <c r="DE3" s="79">
        <v>0</v>
      </c>
      <c r="DF3" s="87">
        <v>0</v>
      </c>
      <c r="DG3" s="87">
        <v>0</v>
      </c>
      <c r="DH3" s="87">
        <v>0</v>
      </c>
      <c r="DI3" s="87">
        <v>0</v>
      </c>
      <c r="DJ3" s="87">
        <v>5.9000000000000021</v>
      </c>
      <c r="DK3" s="87">
        <v>345.69999999999987</v>
      </c>
      <c r="DL3" s="87">
        <v>1297.8000000000006</v>
      </c>
      <c r="DM3" s="87">
        <v>1126.3</v>
      </c>
      <c r="DN3" s="87">
        <v>290.40000000000009</v>
      </c>
      <c r="DO3" s="87">
        <v>0.10000000000000142</v>
      </c>
      <c r="DP3" s="87">
        <v>0</v>
      </c>
      <c r="DQ3" s="87">
        <v>0</v>
      </c>
      <c r="DR3" s="94">
        <v>15648.900000000009</v>
      </c>
      <c r="DS3" s="94">
        <v>13204.400000000003</v>
      </c>
      <c r="DT3" s="94">
        <v>13022.099999999986</v>
      </c>
      <c r="DU3" s="94">
        <v>10871.999999999996</v>
      </c>
      <c r="DV3" s="94">
        <v>7999.5000000000027</v>
      </c>
      <c r="DW3" s="94">
        <v>4697.399999999996</v>
      </c>
      <c r="DX3" s="94">
        <v>2756.4999999999977</v>
      </c>
      <c r="DY3" s="94">
        <v>2863.0999999999995</v>
      </c>
      <c r="DZ3" s="94">
        <v>4599.7999999999956</v>
      </c>
      <c r="EA3" s="94">
        <v>8846.799999999992</v>
      </c>
      <c r="EB3" s="94">
        <v>12572.800000000005</v>
      </c>
      <c r="EC3" s="94">
        <v>15397.099999999993</v>
      </c>
      <c r="ED3" s="224" t="s">
        <v>151</v>
      </c>
      <c r="EE3" s="542">
        <v>10.5</v>
      </c>
      <c r="EF3" s="542">
        <v>17.2</v>
      </c>
      <c r="EG3" s="542">
        <v>26.8</v>
      </c>
      <c r="EH3" s="542">
        <v>41.2</v>
      </c>
      <c r="EI3" s="542">
        <v>76.8</v>
      </c>
      <c r="EJ3" s="542">
        <v>92.2</v>
      </c>
      <c r="EK3" s="542">
        <v>92.2</v>
      </c>
      <c r="EL3" s="545">
        <v>7.2</v>
      </c>
      <c r="EM3" s="545">
        <v>11.8</v>
      </c>
      <c r="EN3" s="545">
        <v>18.3</v>
      </c>
      <c r="EO3" s="545">
        <v>28.2</v>
      </c>
      <c r="EP3" s="545">
        <v>60.9</v>
      </c>
      <c r="EQ3" s="545">
        <v>73.099999999999994</v>
      </c>
      <c r="ER3" s="545">
        <v>73.099999999999994</v>
      </c>
      <c r="ES3" s="533">
        <v>17.899999999999999</v>
      </c>
      <c r="ET3" s="533">
        <v>13.1</v>
      </c>
      <c r="EU3" s="537">
        <v>28.1</v>
      </c>
      <c r="EV3" s="537">
        <v>20.6</v>
      </c>
      <c r="EW3" s="540">
        <v>6.8</v>
      </c>
      <c r="EX3" s="540">
        <v>5</v>
      </c>
    </row>
    <row r="4" spans="1:154" hidden="1">
      <c r="A4" s="345" t="s">
        <v>314</v>
      </c>
      <c r="B4" s="96">
        <v>11.530838709677422</v>
      </c>
      <c r="C4" s="97">
        <v>12.261857142857142</v>
      </c>
      <c r="D4" s="97">
        <v>13.657548387096773</v>
      </c>
      <c r="E4" s="97">
        <v>15.544533333333334</v>
      </c>
      <c r="F4" s="97">
        <v>18.485419354838715</v>
      </c>
      <c r="G4" s="97">
        <v>22.043866666666666</v>
      </c>
      <c r="H4" s="97">
        <v>24.911225806451604</v>
      </c>
      <c r="I4" s="97">
        <v>25.387225806451614</v>
      </c>
      <c r="J4" s="97">
        <v>23.071733333333334</v>
      </c>
      <c r="K4" s="97">
        <v>19.046064516129036</v>
      </c>
      <c r="L4" s="97">
        <v>14.862666666666666</v>
      </c>
      <c r="M4" s="100">
        <v>12.030166666666668</v>
      </c>
      <c r="N4" s="106">
        <v>12.13</v>
      </c>
      <c r="O4" s="106">
        <v>11.57</v>
      </c>
      <c r="P4" s="106">
        <v>12.56</v>
      </c>
      <c r="Q4" s="106">
        <v>14.12</v>
      </c>
      <c r="R4" s="106">
        <v>18.2</v>
      </c>
      <c r="S4" s="106">
        <v>21.35</v>
      </c>
      <c r="T4" s="106">
        <v>23.47</v>
      </c>
      <c r="U4" s="106">
        <v>24.12</v>
      </c>
      <c r="V4" s="106">
        <v>23.02</v>
      </c>
      <c r="W4" s="106">
        <v>20.57</v>
      </c>
      <c r="X4" s="106">
        <v>17.309999999999999</v>
      </c>
      <c r="Y4" s="106">
        <v>14.28</v>
      </c>
      <c r="Z4" s="102">
        <v>2543.8709677419356</v>
      </c>
      <c r="AA4" s="4">
        <v>3372.2857142857142</v>
      </c>
      <c r="AB4" s="4">
        <v>4516.5161290322585</v>
      </c>
      <c r="AC4" s="4">
        <v>5581.9</v>
      </c>
      <c r="AD4" s="4">
        <v>6535.2903225806449</v>
      </c>
      <c r="AE4" s="4">
        <v>7046.833333333333</v>
      </c>
      <c r="AF4" s="4">
        <v>7271.0967741935483</v>
      </c>
      <c r="AG4" s="4">
        <v>6451.1935483870966</v>
      </c>
      <c r="AH4" s="4">
        <v>5191.5666666666666</v>
      </c>
      <c r="AI4" s="4">
        <v>3926.5806451612902</v>
      </c>
      <c r="AJ4" s="4">
        <v>2783</v>
      </c>
      <c r="AK4" s="23">
        <v>2265.483870967742</v>
      </c>
      <c r="AL4" s="29">
        <v>4359.9110287544372</v>
      </c>
      <c r="AM4" s="6">
        <v>4263.7646094060292</v>
      </c>
      <c r="AN4" s="6">
        <v>3921.2514592086536</v>
      </c>
      <c r="AO4" s="6">
        <v>3172.5501916004146</v>
      </c>
      <c r="AP4" s="6">
        <v>2738.325181767183</v>
      </c>
      <c r="AQ4" s="6">
        <v>2568.7803981064962</v>
      </c>
      <c r="AR4" s="6">
        <v>2735.1667924040485</v>
      </c>
      <c r="AS4" s="6">
        <v>3165.2581535835093</v>
      </c>
      <c r="AT4" s="6">
        <v>3824.333246962819</v>
      </c>
      <c r="AU4" s="6">
        <v>4493.6921313533257</v>
      </c>
      <c r="AV4" s="6">
        <v>4437.4929816311505</v>
      </c>
      <c r="AW4" s="30">
        <v>4197.5309897326506</v>
      </c>
      <c r="AX4" s="39">
        <v>3427.4725499063607</v>
      </c>
      <c r="AY4" s="8">
        <v>3622.7930762675855</v>
      </c>
      <c r="AZ4" s="8">
        <v>3828.3894747361469</v>
      </c>
      <c r="BA4" s="8">
        <v>3742.8164546879207</v>
      </c>
      <c r="BB4" s="8">
        <v>3674.8332460333363</v>
      </c>
      <c r="BC4" s="8">
        <v>3634.4881270022797</v>
      </c>
      <c r="BD4" s="8">
        <v>3874.4006797746765</v>
      </c>
      <c r="BE4" s="8">
        <v>4021.9903952219183</v>
      </c>
      <c r="BF4" s="8">
        <v>4040.1723035502578</v>
      </c>
      <c r="BG4" s="8">
        <v>3958.4733275270769</v>
      </c>
      <c r="BH4" s="8">
        <v>3546.1087665294835</v>
      </c>
      <c r="BI4" s="40">
        <v>3248.492205286052</v>
      </c>
      <c r="BJ4" s="49">
        <v>2000.5837840508666</v>
      </c>
      <c r="BK4" s="10">
        <v>2501.5219660426692</v>
      </c>
      <c r="BL4" s="10">
        <v>3161.2411968158412</v>
      </c>
      <c r="BM4" s="10">
        <v>3692.0863063630532</v>
      </c>
      <c r="BN4" s="10">
        <v>4157.8775925670079</v>
      </c>
      <c r="BO4" s="10">
        <v>4405.3406347718919</v>
      </c>
      <c r="BP4" s="10">
        <v>4593.2885787892546</v>
      </c>
      <c r="BQ4" s="10">
        <v>4216.8127288072874</v>
      </c>
      <c r="BR4" s="10">
        <v>3569.4112613731322</v>
      </c>
      <c r="BS4" s="10">
        <v>2876.6506168127084</v>
      </c>
      <c r="BT4" s="10">
        <v>2159.2790686054364</v>
      </c>
      <c r="BU4" s="50">
        <v>1808.4965767954243</v>
      </c>
      <c r="BV4" s="57">
        <v>676.88622038947062</v>
      </c>
      <c r="BW4" s="12">
        <v>906.05150876062135</v>
      </c>
      <c r="BX4" s="12">
        <v>1207.4724258719043</v>
      </c>
      <c r="BY4" s="12">
        <v>1522.4655607831321</v>
      </c>
      <c r="BZ4" s="12">
        <v>1753.6652884141301</v>
      </c>
      <c r="CA4" s="12">
        <v>1849.7699854828713</v>
      </c>
      <c r="CB4" s="12">
        <v>1795.6821352918382</v>
      </c>
      <c r="CC4" s="12">
        <v>1611.6677954820809</v>
      </c>
      <c r="CD4" s="12">
        <v>1323.0676523766454</v>
      </c>
      <c r="CE4" s="12">
        <v>997.14632498135904</v>
      </c>
      <c r="CF4" s="12">
        <v>731.09853582526216</v>
      </c>
      <c r="CG4" s="63">
        <v>612.47471425717129</v>
      </c>
      <c r="CH4" s="71">
        <v>5568.0999999999985</v>
      </c>
      <c r="CI4" s="71">
        <v>4534.7000000000016</v>
      </c>
      <c r="CJ4" s="71">
        <v>4061.5999999999945</v>
      </c>
      <c r="CK4" s="71">
        <v>2908.0999999999972</v>
      </c>
      <c r="CL4" s="71">
        <v>1490.0000000000007</v>
      </c>
      <c r="CM4" s="71">
        <v>441.69999999999987</v>
      </c>
      <c r="CN4" s="71">
        <v>33.100000000000009</v>
      </c>
      <c r="CO4" s="71">
        <v>0.40000000000000568</v>
      </c>
      <c r="CP4" s="71">
        <v>102.3</v>
      </c>
      <c r="CQ4" s="71">
        <v>1217.3000000000004</v>
      </c>
      <c r="CR4" s="71">
        <v>3150.4000000000024</v>
      </c>
      <c r="CS4" s="71">
        <v>5196.9999999999955</v>
      </c>
      <c r="CT4" s="79">
        <v>64.700000000000017</v>
      </c>
      <c r="CU4" s="79">
        <v>66.400000000000006</v>
      </c>
      <c r="CV4" s="79">
        <v>156.70000000000002</v>
      </c>
      <c r="CW4" s="79">
        <v>497.09999999999962</v>
      </c>
      <c r="CX4" s="79">
        <v>1188.1999999999994</v>
      </c>
      <c r="CY4" s="79">
        <v>2717.3999999999996</v>
      </c>
      <c r="CZ4" s="79">
        <v>4516.9999999999982</v>
      </c>
      <c r="DA4" s="79">
        <v>4837.6999999999944</v>
      </c>
      <c r="DB4" s="79">
        <v>3116.6999999999989</v>
      </c>
      <c r="DC4" s="79">
        <v>1329.8</v>
      </c>
      <c r="DD4" s="79">
        <v>238.09999999999982</v>
      </c>
      <c r="DE4" s="79">
        <v>68.300000000000011</v>
      </c>
      <c r="DF4" s="87">
        <v>0</v>
      </c>
      <c r="DG4" s="87">
        <v>0</v>
      </c>
      <c r="DH4" s="87">
        <v>0</v>
      </c>
      <c r="DI4" s="87">
        <v>0</v>
      </c>
      <c r="DJ4" s="87">
        <v>46.400000000000041</v>
      </c>
      <c r="DK4" s="87">
        <v>371.40000000000009</v>
      </c>
      <c r="DL4" s="87">
        <v>1004.5000000000006</v>
      </c>
      <c r="DM4" s="87">
        <v>1121.5</v>
      </c>
      <c r="DN4" s="87">
        <v>537.20000000000027</v>
      </c>
      <c r="DO4" s="87">
        <v>85.800000000000026</v>
      </c>
      <c r="DP4" s="87">
        <v>0</v>
      </c>
      <c r="DQ4" s="87">
        <v>0</v>
      </c>
      <c r="DR4" s="94">
        <v>10711.400000000005</v>
      </c>
      <c r="DS4" s="94">
        <v>9172.2999999999847</v>
      </c>
      <c r="DT4" s="94">
        <v>9112.900000000016</v>
      </c>
      <c r="DU4" s="94">
        <v>7451.0000000000036</v>
      </c>
      <c r="DV4" s="94">
        <v>5556.1999999999944</v>
      </c>
      <c r="DW4" s="94">
        <v>3135.7</v>
      </c>
      <c r="DX4" s="94">
        <v>1728.5999999999983</v>
      </c>
      <c r="DY4" s="94">
        <v>1492.1999999999978</v>
      </c>
      <c r="DZ4" s="94">
        <v>2562.7999999999988</v>
      </c>
      <c r="EA4" s="94">
        <v>5181.300000000002</v>
      </c>
      <c r="EB4" s="94">
        <v>7952.3</v>
      </c>
      <c r="EC4" s="94">
        <v>10336.699999999986</v>
      </c>
      <c r="ED4" s="224" t="s">
        <v>152</v>
      </c>
      <c r="EE4" s="542">
        <v>5</v>
      </c>
      <c r="EF4" s="542">
        <v>8.9</v>
      </c>
      <c r="EG4" s="542">
        <v>14.3</v>
      </c>
      <c r="EH4" s="542">
        <v>22.5</v>
      </c>
      <c r="EI4" s="542">
        <v>58.1</v>
      </c>
      <c r="EJ4" s="542">
        <v>69.7</v>
      </c>
      <c r="EK4" s="542">
        <v>69.7</v>
      </c>
      <c r="EL4" s="545">
        <v>3.2</v>
      </c>
      <c r="EM4" s="545">
        <v>5.6</v>
      </c>
      <c r="EN4" s="545">
        <v>9.1</v>
      </c>
      <c r="EO4" s="545">
        <v>14.4</v>
      </c>
      <c r="EP4" s="545">
        <v>38.299999999999997</v>
      </c>
      <c r="EQ4" s="545">
        <v>43.3</v>
      </c>
      <c r="ER4" s="545">
        <v>43.3</v>
      </c>
      <c r="ES4" s="533">
        <v>16.8</v>
      </c>
      <c r="ET4" s="533">
        <v>12.3</v>
      </c>
      <c r="EU4" s="537">
        <v>26.4</v>
      </c>
      <c r="EV4" s="537">
        <v>19.3</v>
      </c>
      <c r="EW4" s="540">
        <v>6.4</v>
      </c>
      <c r="EX4" s="540">
        <v>4.7</v>
      </c>
    </row>
    <row r="5" spans="1:154" hidden="1">
      <c r="A5" s="345" t="s">
        <v>315</v>
      </c>
      <c r="B5" s="96">
        <v>12.402451612903226</v>
      </c>
      <c r="C5" s="97">
        <v>12.936000000000002</v>
      </c>
      <c r="D5" s="97">
        <v>14.265161290322581</v>
      </c>
      <c r="E5" s="97">
        <v>16.063066666666668</v>
      </c>
      <c r="F5" s="97">
        <v>18.656516129032262</v>
      </c>
      <c r="G5" s="97">
        <v>22.238933333333328</v>
      </c>
      <c r="H5" s="97">
        <v>25.364903225806454</v>
      </c>
      <c r="I5" s="97">
        <v>25.915225806451616</v>
      </c>
      <c r="J5" s="97">
        <v>23.959733333333325</v>
      </c>
      <c r="K5" s="97">
        <v>19.979354838709678</v>
      </c>
      <c r="L5" s="97">
        <v>16.118399999999998</v>
      </c>
      <c r="M5" s="100">
        <v>13.280510752688169</v>
      </c>
      <c r="N5" s="106">
        <v>12.95</v>
      </c>
      <c r="O5" s="106">
        <v>12.4</v>
      </c>
      <c r="P5" s="106">
        <v>13.37</v>
      </c>
      <c r="Q5" s="106">
        <v>14.89</v>
      </c>
      <c r="R5" s="106">
        <v>18.87</v>
      </c>
      <c r="S5" s="106">
        <v>21.94</v>
      </c>
      <c r="T5" s="106">
        <v>24.01</v>
      </c>
      <c r="U5" s="106">
        <v>24.64</v>
      </c>
      <c r="V5" s="106">
        <v>23.56</v>
      </c>
      <c r="W5" s="106">
        <v>21.18</v>
      </c>
      <c r="X5" s="106">
        <v>18</v>
      </c>
      <c r="Y5" s="106">
        <v>15.04</v>
      </c>
      <c r="Z5" s="102">
        <v>2695.0645161290322</v>
      </c>
      <c r="AA5" s="4">
        <v>3501.4642857142858</v>
      </c>
      <c r="AB5" s="4">
        <v>4425.1935483870966</v>
      </c>
      <c r="AC5" s="4">
        <v>5541.166666666667</v>
      </c>
      <c r="AD5" s="4">
        <v>6697.7096774193551</v>
      </c>
      <c r="AE5" s="4">
        <v>7255.6</v>
      </c>
      <c r="AF5" s="4">
        <v>7346.9677419354839</v>
      </c>
      <c r="AG5" s="4">
        <v>6572.8064516129034</v>
      </c>
      <c r="AH5" s="4">
        <v>5291.2</v>
      </c>
      <c r="AI5" s="4">
        <v>3961.3870967741937</v>
      </c>
      <c r="AJ5" s="4">
        <v>2919.3666666666668</v>
      </c>
      <c r="AK5" s="23">
        <v>2452.1612903225805</v>
      </c>
      <c r="AL5" s="29">
        <v>4390.0844726148562</v>
      </c>
      <c r="AM5" s="6">
        <v>4240.2928704281467</v>
      </c>
      <c r="AN5" s="6">
        <v>3669.7536246864561</v>
      </c>
      <c r="AO5" s="6">
        <v>3044.1071831317481</v>
      </c>
      <c r="AP5" s="6">
        <v>2682.8367369942289</v>
      </c>
      <c r="AQ5" s="6">
        <v>2504.3600927745065</v>
      </c>
      <c r="AR5" s="6">
        <v>2640.5611400359762</v>
      </c>
      <c r="AS5" s="6">
        <v>3095.286200041452</v>
      </c>
      <c r="AT5" s="6">
        <v>3756.2128117264774</v>
      </c>
      <c r="AU5" s="6">
        <v>4316.7630909901845</v>
      </c>
      <c r="AV5" s="6">
        <v>4426.0799266081367</v>
      </c>
      <c r="AW5" s="30">
        <v>4335.2139916939586</v>
      </c>
      <c r="AX5" s="39">
        <v>3474.3778665291125</v>
      </c>
      <c r="AY5" s="8">
        <v>3631.5932288805702</v>
      </c>
      <c r="AZ5" s="8">
        <v>3619.7405730563814</v>
      </c>
      <c r="BA5" s="8">
        <v>3633.1772118908361</v>
      </c>
      <c r="BB5" s="8">
        <v>3691.708338578585</v>
      </c>
      <c r="BC5" s="8">
        <v>3660.8014470199446</v>
      </c>
      <c r="BD5" s="8">
        <v>3836.4920534448624</v>
      </c>
      <c r="BE5" s="8">
        <v>4012.4229467146165</v>
      </c>
      <c r="BF5" s="8">
        <v>4015.4740486181327</v>
      </c>
      <c r="BG5" s="8">
        <v>3839.5714240789284</v>
      </c>
      <c r="BH5" s="8">
        <v>3562.8281518334738</v>
      </c>
      <c r="BI5" s="40">
        <v>3373.1592672493771</v>
      </c>
      <c r="BJ5" s="49">
        <v>2073.7582913481142</v>
      </c>
      <c r="BK5" s="10">
        <v>2552.1693357808986</v>
      </c>
      <c r="BL5" s="10">
        <v>3043.6717339027582</v>
      </c>
      <c r="BM5" s="10">
        <v>3625.0942739144257</v>
      </c>
      <c r="BN5" s="10">
        <v>4231.593185224936</v>
      </c>
      <c r="BO5" s="10">
        <v>4507.6811171386325</v>
      </c>
      <c r="BP5" s="10">
        <v>4606.8429433290567</v>
      </c>
      <c r="BQ5" s="10">
        <v>4258.4833571231156</v>
      </c>
      <c r="BR5" s="10">
        <v>3593.6952071541114</v>
      </c>
      <c r="BS5" s="10">
        <v>2846.4580549243165</v>
      </c>
      <c r="BT5" s="10">
        <v>2217.2030041457933</v>
      </c>
      <c r="BU5" s="50">
        <v>1917.3936417012962</v>
      </c>
      <c r="BV5" s="57">
        <v>717.21508982400076</v>
      </c>
      <c r="BW5" s="12">
        <v>942.77913042109401</v>
      </c>
      <c r="BX5" s="12">
        <v>1229.6505544174383</v>
      </c>
      <c r="BY5" s="12">
        <v>1534.7974516893989</v>
      </c>
      <c r="BZ5" s="12">
        <v>1756.7455621895087</v>
      </c>
      <c r="CA5" s="12">
        <v>1843.1632164403798</v>
      </c>
      <c r="CB5" s="12">
        <v>1791.5840679275916</v>
      </c>
      <c r="CC5" s="12">
        <v>1620.2312989643419</v>
      </c>
      <c r="CD5" s="12">
        <v>1346.9959963567178</v>
      </c>
      <c r="CE5" s="12">
        <v>1030.4300702561113</v>
      </c>
      <c r="CF5" s="12">
        <v>770.23616811164743</v>
      </c>
      <c r="CG5" s="63">
        <v>654.51915960221834</v>
      </c>
      <c r="CH5" s="71">
        <v>4896.4000000000033</v>
      </c>
      <c r="CI5" s="71">
        <v>4104.5000000000027</v>
      </c>
      <c r="CJ5" s="71">
        <v>3676.3999999999933</v>
      </c>
      <c r="CK5" s="71">
        <v>2496.8999999999955</v>
      </c>
      <c r="CL5" s="71">
        <v>1240.2000000000021</v>
      </c>
      <c r="CM5" s="71">
        <v>256.09999999999957</v>
      </c>
      <c r="CN5" s="71">
        <v>5.8000000000000185</v>
      </c>
      <c r="CO5" s="71">
        <v>0</v>
      </c>
      <c r="CP5" s="71">
        <v>24.500000000000007</v>
      </c>
      <c r="CQ5" s="71">
        <v>653.89999999999907</v>
      </c>
      <c r="CR5" s="71">
        <v>2302.9999999999973</v>
      </c>
      <c r="CS5" s="71">
        <v>4281.0999999999967</v>
      </c>
      <c r="CT5" s="79">
        <v>29.400000000000006</v>
      </c>
      <c r="CU5" s="79">
        <v>71.800000000000011</v>
      </c>
      <c r="CV5" s="79">
        <v>213.99999999999997</v>
      </c>
      <c r="CW5" s="79">
        <v>440.79999999999995</v>
      </c>
      <c r="CX5" s="79">
        <v>1050.3999999999999</v>
      </c>
      <c r="CY5" s="79">
        <v>2655.9000000000024</v>
      </c>
      <c r="CZ5" s="79">
        <v>4806.5</v>
      </c>
      <c r="DA5" s="79">
        <v>5213.2000000000153</v>
      </c>
      <c r="DB5" s="79">
        <v>3656.5999999999958</v>
      </c>
      <c r="DC5" s="79">
        <v>1442.6000000000015</v>
      </c>
      <c r="DD5" s="79">
        <v>281.29999999999995</v>
      </c>
      <c r="DE5" s="79">
        <v>72.400000000000006</v>
      </c>
      <c r="DF5" s="87">
        <v>0</v>
      </c>
      <c r="DG5" s="87">
        <v>0</v>
      </c>
      <c r="DH5" s="87">
        <v>2.5999999999999979</v>
      </c>
      <c r="DI5" s="87">
        <v>1.0000000000000036</v>
      </c>
      <c r="DJ5" s="87">
        <v>30.400000000000002</v>
      </c>
      <c r="DK5" s="87">
        <v>312.49999999999994</v>
      </c>
      <c r="DL5" s="87">
        <v>922.60000000000048</v>
      </c>
      <c r="DM5" s="87">
        <v>1007.200000000001</v>
      </c>
      <c r="DN5" s="87">
        <v>472.00000000000017</v>
      </c>
      <c r="DO5" s="87">
        <v>32.90000000000002</v>
      </c>
      <c r="DP5" s="87">
        <v>5</v>
      </c>
      <c r="DQ5" s="87">
        <v>0</v>
      </c>
      <c r="DR5" s="94">
        <v>10074.999999999996</v>
      </c>
      <c r="DS5" s="94">
        <v>8736.6999999999807</v>
      </c>
      <c r="DT5" s="94">
        <v>8673.0000000000073</v>
      </c>
      <c r="DU5" s="94">
        <v>7097.0999999999985</v>
      </c>
      <c r="DV5" s="94">
        <v>5428.1999999999935</v>
      </c>
      <c r="DW5" s="94">
        <v>2952.6999999999953</v>
      </c>
      <c r="DX5" s="94">
        <v>1329.9000000000015</v>
      </c>
      <c r="DY5" s="94">
        <v>1002.0000000000014</v>
      </c>
      <c r="DZ5" s="94">
        <v>1879.899999999999</v>
      </c>
      <c r="EA5" s="94">
        <v>4452.1999999999962</v>
      </c>
      <c r="EB5" s="94">
        <v>7066.7000000000116</v>
      </c>
      <c r="EC5" s="94">
        <v>9416.7000000000062</v>
      </c>
      <c r="ED5" s="224" t="s">
        <v>343</v>
      </c>
      <c r="EE5" s="542">
        <v>4.4000000000000004</v>
      </c>
      <c r="EF5" s="542">
        <v>8.4</v>
      </c>
      <c r="EG5" s="542">
        <v>14.1</v>
      </c>
      <c r="EH5" s="542">
        <v>22.7</v>
      </c>
      <c r="EI5" s="542">
        <v>39.4</v>
      </c>
      <c r="EJ5" s="542">
        <v>42.9</v>
      </c>
      <c r="EK5" s="542">
        <v>42.9</v>
      </c>
      <c r="EL5" s="545">
        <v>2.8</v>
      </c>
      <c r="EM5" s="545">
        <v>5.3</v>
      </c>
      <c r="EN5" s="545">
        <v>8.9</v>
      </c>
      <c r="EO5" s="545">
        <v>14.3</v>
      </c>
      <c r="EP5" s="545">
        <v>28.7</v>
      </c>
      <c r="EQ5" s="545">
        <v>31.3</v>
      </c>
      <c r="ER5" s="545">
        <v>31.3</v>
      </c>
      <c r="ES5" s="533">
        <v>16.600000000000001</v>
      </c>
      <c r="ET5" s="533">
        <v>12.1</v>
      </c>
      <c r="EU5" s="537">
        <v>26.1</v>
      </c>
      <c r="EV5" s="537">
        <v>19</v>
      </c>
      <c r="EW5" s="540">
        <v>6.3</v>
      </c>
      <c r="EX5" s="540">
        <v>4.5999999999999996</v>
      </c>
    </row>
    <row r="6" spans="1:154" hidden="1">
      <c r="A6" s="345" t="s">
        <v>293</v>
      </c>
      <c r="B6" s="96">
        <v>3.0809032258064519</v>
      </c>
      <c r="C6" s="97">
        <v>3.9398571428571421</v>
      </c>
      <c r="D6" s="97">
        <v>5.5690322580645155</v>
      </c>
      <c r="E6" s="97">
        <v>7.5138666666666669</v>
      </c>
      <c r="F6" s="97">
        <v>11.401935483870966</v>
      </c>
      <c r="G6" s="97">
        <v>15.908533333333331</v>
      </c>
      <c r="H6" s="97">
        <v>19.721806451612899</v>
      </c>
      <c r="I6" s="97">
        <v>19.26116129032258</v>
      </c>
      <c r="J6" s="97">
        <v>16.388400000000001</v>
      </c>
      <c r="K6" s="97">
        <v>11.080000000000004</v>
      </c>
      <c r="L6" s="97">
        <v>5.973866666666666</v>
      </c>
      <c r="M6" s="100">
        <v>3.344435483870968</v>
      </c>
      <c r="N6" s="106">
        <v>3.49</v>
      </c>
      <c r="O6" s="106">
        <v>2.81</v>
      </c>
      <c r="P6" s="106">
        <v>4.01</v>
      </c>
      <c r="Q6" s="106">
        <v>5.89</v>
      </c>
      <c r="R6" s="106">
        <v>10.79</v>
      </c>
      <c r="S6" s="106">
        <v>14.58</v>
      </c>
      <c r="T6" s="106">
        <v>17.14</v>
      </c>
      <c r="U6" s="106">
        <v>17.920000000000002</v>
      </c>
      <c r="V6" s="106">
        <v>16.59</v>
      </c>
      <c r="W6" s="106">
        <v>13.65</v>
      </c>
      <c r="X6" s="106">
        <v>9.7200000000000006</v>
      </c>
      <c r="Y6" s="106">
        <v>6.07</v>
      </c>
      <c r="Z6" s="102">
        <v>2000.5483870967741</v>
      </c>
      <c r="AA6" s="4">
        <v>2750.6428571428573</v>
      </c>
      <c r="AB6" s="4">
        <v>3836.483870967742</v>
      </c>
      <c r="AC6" s="4">
        <v>4837.2666666666664</v>
      </c>
      <c r="AD6" s="4">
        <v>5997.1612903225805</v>
      </c>
      <c r="AE6" s="4">
        <v>6714.2666666666664</v>
      </c>
      <c r="AF6" s="4">
        <v>7364.8387096774195</v>
      </c>
      <c r="AG6" s="4">
        <v>6663.0967741935483</v>
      </c>
      <c r="AH6" s="4">
        <v>4925.7333333333336</v>
      </c>
      <c r="AI6" s="4">
        <v>3348.6774193548385</v>
      </c>
      <c r="AJ6" s="4">
        <v>2178.1666666666665</v>
      </c>
      <c r="AK6" s="23">
        <v>1712.2903225806451</v>
      </c>
      <c r="AL6" s="29">
        <v>3472.3879123854786</v>
      </c>
      <c r="AM6" s="6">
        <v>3517.9347783444878</v>
      </c>
      <c r="AN6" s="6">
        <v>3415.0242701661205</v>
      </c>
      <c r="AO6" s="6">
        <v>2896.715197925862</v>
      </c>
      <c r="AP6" s="6">
        <v>2709.163122423292</v>
      </c>
      <c r="AQ6" s="6">
        <v>2640.7408964974811</v>
      </c>
      <c r="AR6" s="6">
        <v>2922.2340234513727</v>
      </c>
      <c r="AS6" s="6">
        <v>3440.906588809492</v>
      </c>
      <c r="AT6" s="6">
        <v>3820.6602445834983</v>
      </c>
      <c r="AU6" s="6">
        <v>3932.7698009042429</v>
      </c>
      <c r="AV6" s="6">
        <v>3489.8699354924488</v>
      </c>
      <c r="AW6" s="30">
        <v>3177.3398203467013</v>
      </c>
      <c r="AX6" s="39">
        <v>2728.5246094865211</v>
      </c>
      <c r="AY6" s="8">
        <v>2980.1952358605254</v>
      </c>
      <c r="AZ6" s="8">
        <v>3295.2091423104648</v>
      </c>
      <c r="BA6" s="8">
        <v>3310.020801374701</v>
      </c>
      <c r="BB6" s="8">
        <v>3476.1536236098009</v>
      </c>
      <c r="BC6" s="8">
        <v>3573.9246461629778</v>
      </c>
      <c r="BD6" s="8">
        <v>4034.8703963577523</v>
      </c>
      <c r="BE6" s="8">
        <v>4300.7205928566691</v>
      </c>
      <c r="BF6" s="8">
        <v>3968.5622894958942</v>
      </c>
      <c r="BG6" s="8">
        <v>3441.0578259490894</v>
      </c>
      <c r="BH6" s="8">
        <v>2789.1442411088215</v>
      </c>
      <c r="BI6" s="40">
        <v>2463.2501384600037</v>
      </c>
      <c r="BJ6" s="49">
        <v>1588.6380862104888</v>
      </c>
      <c r="BK6" s="10">
        <v>2055.723087533413</v>
      </c>
      <c r="BL6" s="10">
        <v>2704.8384719499331</v>
      </c>
      <c r="BM6" s="10">
        <v>3219.1833833228902</v>
      </c>
      <c r="BN6" s="10">
        <v>3848.1853079876887</v>
      </c>
      <c r="BO6" s="10">
        <v>4237.7739685523647</v>
      </c>
      <c r="BP6" s="10">
        <v>4715.1526790076095</v>
      </c>
      <c r="BQ6" s="10">
        <v>4437.3403450014912</v>
      </c>
      <c r="BR6" s="10">
        <v>3446.2770423153802</v>
      </c>
      <c r="BS6" s="10">
        <v>2482.5942152943194</v>
      </c>
      <c r="BT6" s="10">
        <v>1701.1514677322612</v>
      </c>
      <c r="BU6" s="50">
        <v>1374.5671110655683</v>
      </c>
      <c r="BV6" s="57">
        <v>597.06189701956635</v>
      </c>
      <c r="BW6" s="12">
        <v>825.62121160581341</v>
      </c>
      <c r="BX6" s="12">
        <v>1138.0864585614634</v>
      </c>
      <c r="BY6" s="12">
        <v>1465.7123349897533</v>
      </c>
      <c r="BZ6" s="12">
        <v>1734.5391880063983</v>
      </c>
      <c r="CA6" s="12">
        <v>1852.757953285748</v>
      </c>
      <c r="CB6" s="12">
        <v>1794.713296974953</v>
      </c>
      <c r="CC6" s="12">
        <v>1588.465716223448</v>
      </c>
      <c r="CD6" s="12">
        <v>1284.6733675696787</v>
      </c>
      <c r="CE6" s="12">
        <v>933.65350772147031</v>
      </c>
      <c r="CF6" s="12">
        <v>650.02930453063891</v>
      </c>
      <c r="CG6" s="63">
        <v>527.83150842896214</v>
      </c>
      <c r="CH6" s="71">
        <v>11805.499999999984</v>
      </c>
      <c r="CI6" s="71">
        <v>10082.799999999992</v>
      </c>
      <c r="CJ6" s="71">
        <v>9937.7000000000062</v>
      </c>
      <c r="CK6" s="71">
        <v>8206.8000000000029</v>
      </c>
      <c r="CL6" s="71">
        <v>5603.9999999999973</v>
      </c>
      <c r="CM6" s="71">
        <v>2685.8999999999955</v>
      </c>
      <c r="CN6" s="71">
        <v>1235.8000000000013</v>
      </c>
      <c r="CO6" s="71">
        <v>1397.2999999999993</v>
      </c>
      <c r="CP6" s="71">
        <v>2520.6999999999998</v>
      </c>
      <c r="CQ6" s="71">
        <v>5882.8000000000047</v>
      </c>
      <c r="CR6" s="71">
        <v>9332.8999999999942</v>
      </c>
      <c r="CS6" s="71">
        <v>11610.599999999997</v>
      </c>
      <c r="CT6" s="79">
        <v>0</v>
      </c>
      <c r="CU6" s="79">
        <v>0</v>
      </c>
      <c r="CV6" s="79">
        <v>0</v>
      </c>
      <c r="CW6" s="79">
        <v>0</v>
      </c>
      <c r="CX6" s="79">
        <v>25.199999999999992</v>
      </c>
      <c r="CY6" s="79">
        <v>546.30000000000007</v>
      </c>
      <c r="CZ6" s="79">
        <v>1873.6000000000006</v>
      </c>
      <c r="DA6" s="79">
        <v>1687.9999999999998</v>
      </c>
      <c r="DB6" s="79">
        <v>719.50000000000102</v>
      </c>
      <c r="DC6" s="79">
        <v>52.40000000000002</v>
      </c>
      <c r="DD6" s="79">
        <v>0</v>
      </c>
      <c r="DE6" s="79">
        <v>0</v>
      </c>
      <c r="DF6" s="87">
        <v>0</v>
      </c>
      <c r="DG6" s="87">
        <v>0</v>
      </c>
      <c r="DH6" s="87">
        <v>0</v>
      </c>
      <c r="DI6" s="87">
        <v>0</v>
      </c>
      <c r="DJ6" s="87">
        <v>0</v>
      </c>
      <c r="DK6" s="87">
        <v>0</v>
      </c>
      <c r="DL6" s="87">
        <v>165.00000000000003</v>
      </c>
      <c r="DM6" s="87">
        <v>141.40000000000003</v>
      </c>
      <c r="DN6" s="87">
        <v>23.000000000000004</v>
      </c>
      <c r="DO6" s="87">
        <v>0</v>
      </c>
      <c r="DP6" s="87">
        <v>0</v>
      </c>
      <c r="DQ6" s="87">
        <v>0</v>
      </c>
      <c r="DR6" s="94">
        <v>17013.499999999996</v>
      </c>
      <c r="DS6" s="94">
        <v>14786.799999999997</v>
      </c>
      <c r="DT6" s="94">
        <v>15145.700000000019</v>
      </c>
      <c r="DU6" s="94">
        <v>13246.800000000007</v>
      </c>
      <c r="DV6" s="94">
        <v>10786.799999999996</v>
      </c>
      <c r="DW6" s="94">
        <v>7179.6000000000049</v>
      </c>
      <c r="DX6" s="94">
        <v>4735.1999999999916</v>
      </c>
      <c r="DY6" s="94">
        <v>5058.7000000000035</v>
      </c>
      <c r="DZ6" s="94">
        <v>6864.199999999998</v>
      </c>
      <c r="EA6" s="94">
        <v>11038.400000000018</v>
      </c>
      <c r="EB6" s="94">
        <v>14372.899999999983</v>
      </c>
      <c r="EC6" s="94">
        <v>16818.59999999998</v>
      </c>
      <c r="ED6" s="224" t="s">
        <v>294</v>
      </c>
      <c r="EE6" s="542">
        <v>14.5</v>
      </c>
      <c r="EF6" s="542">
        <v>22.1</v>
      </c>
      <c r="EG6" s="542">
        <v>33.1</v>
      </c>
      <c r="EH6" s="542">
        <v>49.5</v>
      </c>
      <c r="EI6" s="542">
        <v>84.4</v>
      </c>
      <c r="EJ6" s="542">
        <v>98.7</v>
      </c>
      <c r="EK6" s="542">
        <v>98.7</v>
      </c>
      <c r="EL6" s="545">
        <v>11.6</v>
      </c>
      <c r="EM6" s="545">
        <v>17.899999999999999</v>
      </c>
      <c r="EN6" s="545">
        <v>26.7</v>
      </c>
      <c r="EO6" s="545">
        <v>39.700000000000003</v>
      </c>
      <c r="EP6" s="545">
        <v>74.099999999999994</v>
      </c>
      <c r="EQ6" s="545">
        <v>86.7</v>
      </c>
      <c r="ER6" s="545">
        <v>86.7</v>
      </c>
      <c r="ES6" s="533">
        <v>18.7</v>
      </c>
      <c r="ET6" s="533">
        <v>13.7</v>
      </c>
      <c r="EU6" s="537">
        <v>29.4</v>
      </c>
      <c r="EV6" s="537">
        <v>21.5</v>
      </c>
      <c r="EW6" s="540">
        <v>7.1</v>
      </c>
      <c r="EX6" s="540">
        <v>5.2</v>
      </c>
    </row>
    <row r="7" spans="1:154" hidden="1">
      <c r="A7" s="345" t="s">
        <v>316</v>
      </c>
      <c r="B7" s="96">
        <v>8.5910967741935469</v>
      </c>
      <c r="C7" s="97">
        <v>10.033714285714286</v>
      </c>
      <c r="D7" s="97">
        <v>11.939354838709678</v>
      </c>
      <c r="E7" s="97">
        <v>14.077066666666669</v>
      </c>
      <c r="F7" s="97">
        <v>17.765677419354837</v>
      </c>
      <c r="G7" s="97">
        <v>22.121733333333339</v>
      </c>
      <c r="H7" s="97">
        <v>25.13780645161291</v>
      </c>
      <c r="I7" s="97">
        <v>24.841935483870966</v>
      </c>
      <c r="J7" s="97">
        <v>22.413333333333338</v>
      </c>
      <c r="K7" s="97">
        <v>17.336387096774192</v>
      </c>
      <c r="L7" s="97">
        <v>12.067333333333332</v>
      </c>
      <c r="M7" s="100">
        <v>8.8897311827957015</v>
      </c>
      <c r="N7" s="106">
        <v>8.8699999999999992</v>
      </c>
      <c r="O7" s="106">
        <v>10.28</v>
      </c>
      <c r="P7" s="106">
        <v>13.04</v>
      </c>
      <c r="Q7" s="106">
        <v>15.65</v>
      </c>
      <c r="R7" s="106">
        <v>20.59</v>
      </c>
      <c r="S7" s="106">
        <v>23.19</v>
      </c>
      <c r="T7" s="106">
        <v>23.9</v>
      </c>
      <c r="U7" s="106">
        <v>22.59</v>
      </c>
      <c r="V7" s="106">
        <v>19.54</v>
      </c>
      <c r="W7" s="106">
        <v>15.75</v>
      </c>
      <c r="X7" s="106">
        <v>12.01</v>
      </c>
      <c r="Y7" s="106">
        <v>9.5399999999999991</v>
      </c>
      <c r="Z7" s="102">
        <v>2219.4516129032259</v>
      </c>
      <c r="AA7" s="4">
        <v>3064.9642857142858</v>
      </c>
      <c r="AB7" s="4">
        <v>4260.9677419354839</v>
      </c>
      <c r="AC7" s="4">
        <v>5355.8</v>
      </c>
      <c r="AD7" s="4">
        <v>6606.7096774193551</v>
      </c>
      <c r="AE7" s="4">
        <v>7090.9</v>
      </c>
      <c r="AF7" s="4">
        <v>7635.3870967741932</v>
      </c>
      <c r="AG7" s="4">
        <v>6870.9032258064517</v>
      </c>
      <c r="AH7" s="4">
        <v>5212.9333333333334</v>
      </c>
      <c r="AI7" s="4">
        <v>3741.2258064516127</v>
      </c>
      <c r="AJ7" s="4">
        <v>2590.7333333333331</v>
      </c>
      <c r="AK7" s="23">
        <v>1978.4193548387098</v>
      </c>
      <c r="AL7" s="29">
        <v>3673.3793256747285</v>
      </c>
      <c r="AM7" s="6">
        <v>3812.9709553474013</v>
      </c>
      <c r="AN7" s="6">
        <v>3702.7804427921769</v>
      </c>
      <c r="AO7" s="6">
        <v>3083.4844058919512</v>
      </c>
      <c r="AP7" s="6">
        <v>2791.3125376710232</v>
      </c>
      <c r="AQ7" s="6">
        <v>2609.599522903497</v>
      </c>
      <c r="AR7" s="6">
        <v>2846.5626534069152</v>
      </c>
      <c r="AS7" s="6">
        <v>3378.5429705035331</v>
      </c>
      <c r="AT7" s="6">
        <v>3893.6095027695569</v>
      </c>
      <c r="AU7" s="6">
        <v>4287.3832084913756</v>
      </c>
      <c r="AV7" s="6">
        <v>4103.6710263113528</v>
      </c>
      <c r="AW7" s="30">
        <v>3542.0485406271609</v>
      </c>
      <c r="AX7" s="39">
        <v>2903.6874002967866</v>
      </c>
      <c r="AY7" s="8">
        <v>3247.3103286075275</v>
      </c>
      <c r="AZ7" s="8">
        <v>3605.970767008776</v>
      </c>
      <c r="BA7" s="8">
        <v>3605.8037734436052</v>
      </c>
      <c r="BB7" s="8">
        <v>3736.0758232649846</v>
      </c>
      <c r="BC7" s="8">
        <v>3676.1882330705798</v>
      </c>
      <c r="BD7" s="8">
        <v>4075.9303831226798</v>
      </c>
      <c r="BE7" s="8">
        <v>4324.0641076429729</v>
      </c>
      <c r="BF7" s="8">
        <v>4099.075331118509</v>
      </c>
      <c r="BG7" s="8">
        <v>3773.330909357509</v>
      </c>
      <c r="BH7" s="8">
        <v>3283.2553433489047</v>
      </c>
      <c r="BI7" s="40">
        <v>2755.7868084333804</v>
      </c>
      <c r="BJ7" s="49">
        <v>1725.5657368903012</v>
      </c>
      <c r="BK7" s="10">
        <v>2261.8879209188231</v>
      </c>
      <c r="BL7" s="10">
        <v>2980.4270056107698</v>
      </c>
      <c r="BM7" s="10">
        <v>3545.1636763104211</v>
      </c>
      <c r="BN7" s="10">
        <v>4217.0847074420799</v>
      </c>
      <c r="BO7" s="10">
        <v>4444.6641602878235</v>
      </c>
      <c r="BP7" s="10">
        <v>4846.3161413512717</v>
      </c>
      <c r="BQ7" s="10">
        <v>4525.3900152133083</v>
      </c>
      <c r="BR7" s="10">
        <v>3603.0585462987888</v>
      </c>
      <c r="BS7" s="10">
        <v>2743.3703354465056</v>
      </c>
      <c r="BT7" s="10">
        <v>2007.5201508439507</v>
      </c>
      <c r="BU7" s="50">
        <v>1561.5974010064137</v>
      </c>
      <c r="BV7" s="57">
        <v>648.18756997671562</v>
      </c>
      <c r="BW7" s="12">
        <v>880.89325587339704</v>
      </c>
      <c r="BX7" s="12">
        <v>1190.0167928639285</v>
      </c>
      <c r="BY7" s="12">
        <v>1510.1484170772528</v>
      </c>
      <c r="BZ7" s="12">
        <v>1753.7977282459644</v>
      </c>
      <c r="CA7" s="12">
        <v>1851.4579583475156</v>
      </c>
      <c r="CB7" s="12">
        <v>1783.2952378222815</v>
      </c>
      <c r="CC7" s="12">
        <v>1595.5939473875744</v>
      </c>
      <c r="CD7" s="12">
        <v>1314.8903108815909</v>
      </c>
      <c r="CE7" s="12">
        <v>983.31720798083711</v>
      </c>
      <c r="CF7" s="12">
        <v>712.38890412900639</v>
      </c>
      <c r="CG7" s="63">
        <v>584.05971717647901</v>
      </c>
      <c r="CH7" s="71">
        <v>7700.2000000000062</v>
      </c>
      <c r="CI7" s="71">
        <v>5992.0000000000082</v>
      </c>
      <c r="CJ7" s="71">
        <v>5285.4000000000005</v>
      </c>
      <c r="CK7" s="71">
        <v>3791.5000000000023</v>
      </c>
      <c r="CL7" s="71">
        <v>2131.900000000001</v>
      </c>
      <c r="CM7" s="71">
        <v>719.60000000000048</v>
      </c>
      <c r="CN7" s="71">
        <v>173.0999999999998</v>
      </c>
      <c r="CO7" s="71">
        <v>230.69999999999982</v>
      </c>
      <c r="CP7" s="71">
        <v>476.29999999999984</v>
      </c>
      <c r="CQ7" s="71">
        <v>2187.099999999999</v>
      </c>
      <c r="CR7" s="71">
        <v>4983.5000000000009</v>
      </c>
      <c r="CS7" s="71">
        <v>7475.5999999999985</v>
      </c>
      <c r="CT7" s="79">
        <v>3.3999999999999986</v>
      </c>
      <c r="CU7" s="79">
        <v>15.399999999999995</v>
      </c>
      <c r="CV7" s="79">
        <v>104.80000000000001</v>
      </c>
      <c r="CW7" s="79">
        <v>321.19999999999993</v>
      </c>
      <c r="CX7" s="79">
        <v>1313.0000000000005</v>
      </c>
      <c r="CY7" s="79">
        <v>3069.7999999999988</v>
      </c>
      <c r="CZ7" s="79">
        <v>4863.1999999999989</v>
      </c>
      <c r="DA7" s="79">
        <v>4693.7999999999975</v>
      </c>
      <c r="DB7" s="79">
        <v>3034.8999999999987</v>
      </c>
      <c r="DC7" s="79">
        <v>1029.3000000000002</v>
      </c>
      <c r="DD7" s="79">
        <v>51.2</v>
      </c>
      <c r="DE7" s="79">
        <v>0.39999999999999858</v>
      </c>
      <c r="DF7" s="87">
        <v>0</v>
      </c>
      <c r="DG7" s="87">
        <v>0</v>
      </c>
      <c r="DH7" s="87">
        <v>0</v>
      </c>
      <c r="DI7" s="87">
        <v>0</v>
      </c>
      <c r="DJ7" s="87">
        <v>89.700000000000031</v>
      </c>
      <c r="DK7" s="87">
        <v>744.10000000000014</v>
      </c>
      <c r="DL7" s="87">
        <v>1736.4000000000015</v>
      </c>
      <c r="DM7" s="87">
        <v>1642.1000000000006</v>
      </c>
      <c r="DN7" s="87">
        <v>748.1000000000007</v>
      </c>
      <c r="DO7" s="87">
        <v>100.9</v>
      </c>
      <c r="DP7" s="87">
        <v>0</v>
      </c>
      <c r="DQ7" s="87">
        <v>0</v>
      </c>
      <c r="DR7" s="94">
        <v>12904.799999999979</v>
      </c>
      <c r="DS7" s="94">
        <v>10680.599999999984</v>
      </c>
      <c r="DT7" s="94">
        <v>10388.599999999999</v>
      </c>
      <c r="DU7" s="94">
        <v>8510.3000000000084</v>
      </c>
      <c r="DV7" s="94">
        <v>6116.6000000000049</v>
      </c>
      <c r="DW7" s="94">
        <v>3433.8999999999978</v>
      </c>
      <c r="DX7" s="94">
        <v>2254.2999999999997</v>
      </c>
      <c r="DY7" s="94">
        <v>2387.0000000000014</v>
      </c>
      <c r="DZ7" s="94">
        <v>3229.4999999999995</v>
      </c>
      <c r="EA7" s="94">
        <v>6466.7</v>
      </c>
      <c r="EB7" s="94">
        <v>9972.3000000000084</v>
      </c>
      <c r="EC7" s="94">
        <v>12683.200000000023</v>
      </c>
      <c r="ED7" s="224" t="s">
        <v>302</v>
      </c>
      <c r="EE7" s="542">
        <v>7.1</v>
      </c>
      <c r="EF7" s="542">
        <v>12.4</v>
      </c>
      <c r="EG7" s="542">
        <v>20.100000000000001</v>
      </c>
      <c r="EH7" s="542">
        <v>31.6</v>
      </c>
      <c r="EI7" s="542">
        <v>73</v>
      </c>
      <c r="EJ7" s="542">
        <v>89.8</v>
      </c>
      <c r="EK7" s="542">
        <v>89.8</v>
      </c>
      <c r="EL7" s="545">
        <v>4.7</v>
      </c>
      <c r="EM7" s="545">
        <v>8.3000000000000007</v>
      </c>
      <c r="EN7" s="545">
        <v>13.5</v>
      </c>
      <c r="EO7" s="545">
        <v>21.2</v>
      </c>
      <c r="EP7" s="545">
        <v>51.1</v>
      </c>
      <c r="EQ7" s="545">
        <v>57.7</v>
      </c>
      <c r="ER7" s="545">
        <v>57.7</v>
      </c>
      <c r="ES7" s="533">
        <v>17.2</v>
      </c>
      <c r="ET7" s="533">
        <v>12.6</v>
      </c>
      <c r="EU7" s="537">
        <v>27</v>
      </c>
      <c r="EV7" s="537">
        <v>19.8</v>
      </c>
      <c r="EW7" s="540">
        <v>6.5</v>
      </c>
      <c r="EX7" s="540">
        <v>4.8</v>
      </c>
    </row>
    <row r="8" spans="1:154" hidden="1">
      <c r="A8" s="345" t="s">
        <v>253</v>
      </c>
      <c r="B8" s="96">
        <v>8.7394838709677405</v>
      </c>
      <c r="C8" s="97">
        <v>9.4804285714285701</v>
      </c>
      <c r="D8" s="97">
        <v>10.975870967741931</v>
      </c>
      <c r="E8" s="97">
        <v>12.772400000000003</v>
      </c>
      <c r="F8" s="97">
        <v>15.862709677419357</v>
      </c>
      <c r="G8" s="97">
        <v>19.611066666666662</v>
      </c>
      <c r="H8" s="97">
        <v>22.773548387096778</v>
      </c>
      <c r="I8" s="97">
        <v>22.923354838709674</v>
      </c>
      <c r="J8" s="97">
        <v>20.969200000000001</v>
      </c>
      <c r="K8" s="97">
        <v>17.009548387096771</v>
      </c>
      <c r="L8" s="97">
        <v>12.403066666666666</v>
      </c>
      <c r="M8" s="100">
        <v>9.5865107526881701</v>
      </c>
      <c r="N8" s="106">
        <v>8.93</v>
      </c>
      <c r="O8" s="106">
        <v>10.14</v>
      </c>
      <c r="P8" s="106">
        <v>12.49</v>
      </c>
      <c r="Q8" s="106">
        <v>14.72</v>
      </c>
      <c r="R8" s="106">
        <v>18.93</v>
      </c>
      <c r="S8" s="106">
        <v>21.15</v>
      </c>
      <c r="T8" s="106">
        <v>21.76</v>
      </c>
      <c r="U8" s="106">
        <v>20.63</v>
      </c>
      <c r="V8" s="106">
        <v>18.04</v>
      </c>
      <c r="W8" s="106">
        <v>14.8</v>
      </c>
      <c r="X8" s="106">
        <v>11.61</v>
      </c>
      <c r="Y8" s="106">
        <v>9.5</v>
      </c>
      <c r="Z8" s="102">
        <v>2003.2258064516129</v>
      </c>
      <c r="AA8" s="4">
        <v>2840.6785714285716</v>
      </c>
      <c r="AB8" s="4">
        <v>3812.1612903225805</v>
      </c>
      <c r="AC8" s="4">
        <v>4896.5333333333338</v>
      </c>
      <c r="AD8" s="4">
        <v>5879.0645161290322</v>
      </c>
      <c r="AE8" s="4">
        <v>6392.3</v>
      </c>
      <c r="AF8" s="4">
        <v>6733.3870967741932</v>
      </c>
      <c r="AG8" s="4">
        <v>5797.7096774193551</v>
      </c>
      <c r="AH8" s="4">
        <v>4403.833333333333</v>
      </c>
      <c r="AI8" s="4">
        <v>3211.0322580645161</v>
      </c>
      <c r="AJ8" s="4">
        <v>2217.1999999999998</v>
      </c>
      <c r="AK8" s="23">
        <v>1825.0645161290322</v>
      </c>
      <c r="AL8" s="29">
        <v>3606.3865268394024</v>
      </c>
      <c r="AM8" s="6">
        <v>3774.7226480358649</v>
      </c>
      <c r="AN8" s="6">
        <v>3448.4832340465614</v>
      </c>
      <c r="AO8" s="6">
        <v>2971.2759664485907</v>
      </c>
      <c r="AP8" s="6">
        <v>2704.0057931488755</v>
      </c>
      <c r="AQ8" s="6">
        <v>2599.4068884916996</v>
      </c>
      <c r="AR8" s="6">
        <v>2803.6750956541755</v>
      </c>
      <c r="AS8" s="6">
        <v>3085.0663671944226</v>
      </c>
      <c r="AT8" s="6">
        <v>3407.8400744110631</v>
      </c>
      <c r="AU8" s="6">
        <v>3802.1290085131577</v>
      </c>
      <c r="AV8" s="6">
        <v>3700.371954387836</v>
      </c>
      <c r="AW8" s="30">
        <v>3633.4884457396033</v>
      </c>
      <c r="AX8" s="39">
        <v>2820.2669200540731</v>
      </c>
      <c r="AY8" s="8">
        <v>3177.7176232464308</v>
      </c>
      <c r="AZ8" s="8">
        <v>3315.3171581535676</v>
      </c>
      <c r="BA8" s="8">
        <v>3385.3886842904831</v>
      </c>
      <c r="BB8" s="8">
        <v>3434.4428307573007</v>
      </c>
      <c r="BC8" s="8">
        <v>3442.5193458205613</v>
      </c>
      <c r="BD8" s="8">
        <v>3740.5786833308293</v>
      </c>
      <c r="BE8" s="8">
        <v>3748.6608810965454</v>
      </c>
      <c r="BF8" s="8">
        <v>3517.9855295499065</v>
      </c>
      <c r="BG8" s="8">
        <v>3320.3683706808783</v>
      </c>
      <c r="BH8" s="8">
        <v>2940.2937802394035</v>
      </c>
      <c r="BI8" s="40">
        <v>2791.9113332999959</v>
      </c>
      <c r="BJ8" s="49">
        <v>1614.9882164504893</v>
      </c>
      <c r="BK8" s="10">
        <v>2155.7866809529323</v>
      </c>
      <c r="BL8" s="10">
        <v>2705.1273301259735</v>
      </c>
      <c r="BM8" s="10">
        <v>3277.4062001598677</v>
      </c>
      <c r="BN8" s="10">
        <v>3782.1982990500937</v>
      </c>
      <c r="BO8" s="10">
        <v>4039.7991352966615</v>
      </c>
      <c r="BP8" s="10">
        <v>4308.3182790025903</v>
      </c>
      <c r="BQ8" s="10">
        <v>3840.2899524140698</v>
      </c>
      <c r="BR8" s="10">
        <v>3065.4937047958447</v>
      </c>
      <c r="BS8" s="10">
        <v>2389.5848333394401</v>
      </c>
      <c r="BT8" s="10">
        <v>1760.6233088913568</v>
      </c>
      <c r="BU8" s="50">
        <v>1506.9376924968883</v>
      </c>
      <c r="BV8" s="57">
        <v>585.26248581011748</v>
      </c>
      <c r="BW8" s="12">
        <v>820.54885536140819</v>
      </c>
      <c r="BX8" s="12">
        <v>1126.729426200453</v>
      </c>
      <c r="BY8" s="12">
        <v>1464.3119646230564</v>
      </c>
      <c r="BZ8" s="12">
        <v>1727.8218769146777</v>
      </c>
      <c r="CA8" s="12">
        <v>1844.484788454349</v>
      </c>
      <c r="CB8" s="12">
        <v>1801.2230441335726</v>
      </c>
      <c r="CC8" s="12">
        <v>1586.8659828071732</v>
      </c>
      <c r="CD8" s="12">
        <v>1258.6086521333204</v>
      </c>
      <c r="CE8" s="12">
        <v>914.28613241797052</v>
      </c>
      <c r="CF8" s="12">
        <v>640.97861115355602</v>
      </c>
      <c r="CG8" s="63">
        <v>525.9473642372061</v>
      </c>
      <c r="CH8" s="71">
        <v>7588.6000000000085</v>
      </c>
      <c r="CI8" s="71">
        <v>6353.5999999999995</v>
      </c>
      <c r="CJ8" s="71">
        <v>5922.3999999999951</v>
      </c>
      <c r="CK8" s="71">
        <v>4480.5000000000064</v>
      </c>
      <c r="CL8" s="71">
        <v>2559.3999999999983</v>
      </c>
      <c r="CM8" s="71">
        <v>758.60000000000048</v>
      </c>
      <c r="CN8" s="71">
        <v>79.000000000000028</v>
      </c>
      <c r="CO8" s="71">
        <v>49.100000000000037</v>
      </c>
      <c r="CP8" s="71">
        <v>460.09999999999991</v>
      </c>
      <c r="CQ8" s="71">
        <v>1953.5000000000002</v>
      </c>
      <c r="CR8" s="71">
        <v>4714.3</v>
      </c>
      <c r="CS8" s="71">
        <v>6975.2999999999993</v>
      </c>
      <c r="CT8" s="79">
        <v>2</v>
      </c>
      <c r="CU8" s="79">
        <v>2.3999999999999986</v>
      </c>
      <c r="CV8" s="79">
        <v>9.5999999999999943</v>
      </c>
      <c r="CW8" s="79">
        <v>54.100000000000016</v>
      </c>
      <c r="CX8" s="79">
        <v>290.5999999999998</v>
      </c>
      <c r="CY8" s="79">
        <v>1266.2000000000012</v>
      </c>
      <c r="CZ8" s="79">
        <v>2953.0999999999931</v>
      </c>
      <c r="DA8" s="79">
        <v>3032.9999999999973</v>
      </c>
      <c r="DB8" s="79">
        <v>1937.8000000000009</v>
      </c>
      <c r="DC8" s="79">
        <v>536.1999999999997</v>
      </c>
      <c r="DD8" s="79">
        <v>17.199999999999989</v>
      </c>
      <c r="DE8" s="79">
        <v>14.100000000000001</v>
      </c>
      <c r="DF8" s="87">
        <v>0</v>
      </c>
      <c r="DG8" s="87">
        <v>0</v>
      </c>
      <c r="DH8" s="87">
        <v>0</v>
      </c>
      <c r="DI8" s="87">
        <v>0</v>
      </c>
      <c r="DJ8" s="87">
        <v>0</v>
      </c>
      <c r="DK8" s="87">
        <v>22.6</v>
      </c>
      <c r="DL8" s="87">
        <v>252</v>
      </c>
      <c r="DM8" s="87">
        <v>301.00000000000017</v>
      </c>
      <c r="DN8" s="87">
        <v>135.20000000000002</v>
      </c>
      <c r="DO8" s="87">
        <v>1.0000000000000036</v>
      </c>
      <c r="DP8" s="87">
        <v>0</v>
      </c>
      <c r="DQ8" s="87">
        <v>0</v>
      </c>
      <c r="DR8" s="94">
        <v>12794.600000000011</v>
      </c>
      <c r="DS8" s="94">
        <v>11055.200000000013</v>
      </c>
      <c r="DT8" s="94">
        <v>11120.800000000005</v>
      </c>
      <c r="DU8" s="94">
        <v>9466.3999999999905</v>
      </c>
      <c r="DV8" s="94">
        <v>7476.7999999999984</v>
      </c>
      <c r="DW8" s="94">
        <v>4555.0000000000027</v>
      </c>
      <c r="DX8" s="94">
        <v>2585.9000000000074</v>
      </c>
      <c r="DY8" s="94">
        <v>2525.1000000000017</v>
      </c>
      <c r="DZ8" s="94">
        <v>3697.5000000000059</v>
      </c>
      <c r="EA8" s="94">
        <v>6626.3000000000011</v>
      </c>
      <c r="EB8" s="94">
        <v>9737.1000000000222</v>
      </c>
      <c r="EC8" s="94">
        <v>12169.200000000003</v>
      </c>
      <c r="ED8" s="225" t="s">
        <v>153</v>
      </c>
      <c r="EE8" s="542">
        <v>7.9</v>
      </c>
      <c r="EF8" s="542">
        <v>13</v>
      </c>
      <c r="EG8" s="542">
        <v>20.2</v>
      </c>
      <c r="EH8" s="542">
        <v>31</v>
      </c>
      <c r="EI8" s="542">
        <v>54</v>
      </c>
      <c r="EJ8" s="542">
        <v>64.8</v>
      </c>
      <c r="EK8" s="542">
        <v>64.8</v>
      </c>
      <c r="EL8" s="545">
        <v>5.3</v>
      </c>
      <c r="EM8" s="545">
        <v>8.6999999999999993</v>
      </c>
      <c r="EN8" s="545">
        <v>13.5</v>
      </c>
      <c r="EO8" s="545">
        <v>20.8</v>
      </c>
      <c r="EP8" s="545">
        <v>41.3</v>
      </c>
      <c r="EQ8" s="545">
        <v>48.3</v>
      </c>
      <c r="ER8" s="545">
        <v>48.3</v>
      </c>
      <c r="ES8" s="533">
        <v>17.399999999999999</v>
      </c>
      <c r="ET8" s="533">
        <v>12.8</v>
      </c>
      <c r="EU8" s="537">
        <v>27.3</v>
      </c>
      <c r="EV8" s="537">
        <v>20.100000000000001</v>
      </c>
      <c r="EW8" s="540">
        <v>6.6</v>
      </c>
      <c r="EX8" s="540">
        <v>4.9000000000000004</v>
      </c>
    </row>
    <row r="9" spans="1:154" hidden="1">
      <c r="A9" s="345" t="s">
        <v>295</v>
      </c>
      <c r="B9" s="96">
        <v>8.8049032258064521</v>
      </c>
      <c r="C9" s="97">
        <v>9.58642857142857</v>
      </c>
      <c r="D9" s="97">
        <v>10.311741935483873</v>
      </c>
      <c r="E9" s="97">
        <v>11.654799999999998</v>
      </c>
      <c r="F9" s="97">
        <v>14.51806451612903</v>
      </c>
      <c r="G9" s="97">
        <v>17.243333333333336</v>
      </c>
      <c r="H9" s="97">
        <v>19.5923870967742</v>
      </c>
      <c r="I9" s="97">
        <v>19.756387096774194</v>
      </c>
      <c r="J9" s="97">
        <v>18.709733333333329</v>
      </c>
      <c r="K9" s="97">
        <v>15.907354838709677</v>
      </c>
      <c r="L9" s="97">
        <v>11.733866666666668</v>
      </c>
      <c r="M9" s="100">
        <v>9.4993655913978507</v>
      </c>
      <c r="N9" s="106">
        <v>11.21</v>
      </c>
      <c r="O9" s="106">
        <v>9.51</v>
      </c>
      <c r="P9" s="106">
        <v>9.0500000000000007</v>
      </c>
      <c r="Q9" s="106">
        <v>9.4499999999999993</v>
      </c>
      <c r="R9" s="106">
        <v>11.74</v>
      </c>
      <c r="S9" s="106">
        <v>14.31</v>
      </c>
      <c r="T9" s="106">
        <v>16.73</v>
      </c>
      <c r="U9" s="106">
        <v>18.489999999999998</v>
      </c>
      <c r="V9" s="106">
        <v>19</v>
      </c>
      <c r="W9" s="106">
        <v>18.170000000000002</v>
      </c>
      <c r="X9" s="106">
        <v>16.190000000000001</v>
      </c>
      <c r="Y9" s="106">
        <v>13.69</v>
      </c>
      <c r="Z9" s="102">
        <v>1239.9677419354839</v>
      </c>
      <c r="AA9" s="4">
        <v>1864.8571428571429</v>
      </c>
      <c r="AB9" s="4">
        <v>2650.0322580645161</v>
      </c>
      <c r="AC9" s="4">
        <v>3322.5333333333333</v>
      </c>
      <c r="AD9" s="4">
        <v>4222.5483870967746</v>
      </c>
      <c r="AE9" s="4">
        <v>4688.6333333333332</v>
      </c>
      <c r="AF9" s="4">
        <v>4792.4193548387093</v>
      </c>
      <c r="AG9" s="4">
        <v>4232.4193548387093</v>
      </c>
      <c r="AH9" s="4">
        <v>3440.5</v>
      </c>
      <c r="AI9" s="4">
        <v>2370.1612903225805</v>
      </c>
      <c r="AJ9" s="4">
        <v>1474.3666666666666</v>
      </c>
      <c r="AK9" s="23">
        <v>1077.4193548387098</v>
      </c>
      <c r="AL9" s="29">
        <v>1992.3351429669249</v>
      </c>
      <c r="AM9" s="6">
        <v>2270.2035734181736</v>
      </c>
      <c r="AN9" s="6">
        <v>2302.6682932214267</v>
      </c>
      <c r="AO9" s="6">
        <v>2072.2453047826307</v>
      </c>
      <c r="AP9" s="6">
        <v>2146.9962331355218</v>
      </c>
      <c r="AQ9" s="6">
        <v>2180.029167111456</v>
      </c>
      <c r="AR9" s="6">
        <v>2279.9957538334011</v>
      </c>
      <c r="AS9" s="6">
        <v>2394.0862053472538</v>
      </c>
      <c r="AT9" s="6">
        <v>2673.5728374921759</v>
      </c>
      <c r="AU9" s="6">
        <v>2702.0582738024805</v>
      </c>
      <c r="AV9" s="6">
        <v>2267.7153284866235</v>
      </c>
      <c r="AW9" s="30">
        <v>1878.8913390927298</v>
      </c>
      <c r="AX9" s="39">
        <v>1585.9025188655382</v>
      </c>
      <c r="AY9" s="8">
        <v>1936.898224315381</v>
      </c>
      <c r="AZ9" s="8">
        <v>2207.6939662192121</v>
      </c>
      <c r="BA9" s="8">
        <v>2262.9523606256589</v>
      </c>
      <c r="BB9" s="8">
        <v>2526.519637250793</v>
      </c>
      <c r="BC9" s="8">
        <v>2634.1201811292967</v>
      </c>
      <c r="BD9" s="8">
        <v>2762.948032508933</v>
      </c>
      <c r="BE9" s="8">
        <v>2753.3584513830183</v>
      </c>
      <c r="BF9" s="8">
        <v>2720.7107800428885</v>
      </c>
      <c r="BG9" s="8">
        <v>2368.9493569036736</v>
      </c>
      <c r="BH9" s="8">
        <v>1825.3947792098888</v>
      </c>
      <c r="BI9" s="40">
        <v>1472.5894431724048</v>
      </c>
      <c r="BJ9" s="49">
        <v>961.45045852931059</v>
      </c>
      <c r="BK9" s="10">
        <v>1373.3274617028997</v>
      </c>
      <c r="BL9" s="10">
        <v>1842.8430763799226</v>
      </c>
      <c r="BM9" s="10">
        <v>2186.0901181719923</v>
      </c>
      <c r="BN9" s="10">
        <v>2696.2262750780878</v>
      </c>
      <c r="BO9" s="10">
        <v>2952.2343761250427</v>
      </c>
      <c r="BP9" s="10">
        <v>3047.5549144524584</v>
      </c>
      <c r="BQ9" s="10">
        <v>2777.8038908344574</v>
      </c>
      <c r="BR9" s="10">
        <v>2380.0203605807305</v>
      </c>
      <c r="BS9" s="10">
        <v>1741.1352868835293</v>
      </c>
      <c r="BT9" s="10">
        <v>1139.4652645229116</v>
      </c>
      <c r="BU9" s="50">
        <v>848.9509437649258</v>
      </c>
      <c r="BV9" s="57">
        <v>457.4188664627701</v>
      </c>
      <c r="BW9" s="12">
        <v>676.84201269766504</v>
      </c>
      <c r="BX9" s="12">
        <v>967.53784922294165</v>
      </c>
      <c r="BY9" s="12">
        <v>1261.9993003007357</v>
      </c>
      <c r="BZ9" s="12">
        <v>1556.7693015478098</v>
      </c>
      <c r="CA9" s="12">
        <v>1696.1674672252595</v>
      </c>
      <c r="CB9" s="12">
        <v>1672.2553265704018</v>
      </c>
      <c r="CC9" s="12">
        <v>1458.33791433276</v>
      </c>
      <c r="CD9" s="12">
        <v>1152.2020682751265</v>
      </c>
      <c r="CE9" s="12">
        <v>802.69667010421836</v>
      </c>
      <c r="CF9" s="12">
        <v>523.56228770877055</v>
      </c>
      <c r="CG9" s="63">
        <v>400.19453954107018</v>
      </c>
      <c r="CH9" s="71">
        <v>7547.3000000000038</v>
      </c>
      <c r="CI9" s="71">
        <v>6286.2999999999993</v>
      </c>
      <c r="CJ9" s="71">
        <v>6415.0000000000027</v>
      </c>
      <c r="CK9" s="71">
        <v>5237.3999999999987</v>
      </c>
      <c r="CL9" s="71">
        <v>3487.4000000000024</v>
      </c>
      <c r="CM9" s="71">
        <v>1901.9999999999991</v>
      </c>
      <c r="CN9" s="71">
        <v>986.80000000000075</v>
      </c>
      <c r="CO9" s="71">
        <v>953.20000000000039</v>
      </c>
      <c r="CP9" s="71">
        <v>1316.7000000000012</v>
      </c>
      <c r="CQ9" s="71">
        <v>2674.2999999999993</v>
      </c>
      <c r="CR9" s="71">
        <v>5186.9000000000024</v>
      </c>
      <c r="CS9" s="71">
        <v>7032.7999999999975</v>
      </c>
      <c r="CT9" s="79">
        <v>0</v>
      </c>
      <c r="CU9" s="79">
        <v>0.39999999999999858</v>
      </c>
      <c r="CV9" s="79">
        <v>11.200000000000003</v>
      </c>
      <c r="CW9" s="79">
        <v>15.099999999999994</v>
      </c>
      <c r="CX9" s="79">
        <v>221.3</v>
      </c>
      <c r="CY9" s="79">
        <v>710.8000000000003</v>
      </c>
      <c r="CZ9" s="79">
        <v>1509.3000000000015</v>
      </c>
      <c r="DA9" s="79">
        <v>1588.0000000000018</v>
      </c>
      <c r="DB9" s="79">
        <v>1181.7000000000003</v>
      </c>
      <c r="DC9" s="79">
        <v>438.09999999999991</v>
      </c>
      <c r="DD9" s="79">
        <v>1.7999999999999972</v>
      </c>
      <c r="DE9" s="79">
        <v>0.79999999999999716</v>
      </c>
      <c r="DF9" s="87">
        <v>0</v>
      </c>
      <c r="DG9" s="87">
        <v>0</v>
      </c>
      <c r="DH9" s="87">
        <v>0</v>
      </c>
      <c r="DI9" s="87">
        <v>0</v>
      </c>
      <c r="DJ9" s="87">
        <v>0</v>
      </c>
      <c r="DK9" s="87">
        <v>9.4000000000000057</v>
      </c>
      <c r="DL9" s="87">
        <v>67.700000000000045</v>
      </c>
      <c r="DM9" s="87">
        <v>72.500000000000043</v>
      </c>
      <c r="DN9" s="87">
        <v>69.899999999999977</v>
      </c>
      <c r="DO9" s="87">
        <v>1.6000000000000014</v>
      </c>
      <c r="DP9" s="87">
        <v>0</v>
      </c>
      <c r="DQ9" s="87">
        <v>0</v>
      </c>
      <c r="DR9" s="94">
        <v>12755.299999999983</v>
      </c>
      <c r="DS9" s="94">
        <v>10989.900000000003</v>
      </c>
      <c r="DT9" s="94">
        <v>11611.800000000012</v>
      </c>
      <c r="DU9" s="94">
        <v>10262.29999999999</v>
      </c>
      <c r="DV9" s="94">
        <v>8474.100000000004</v>
      </c>
      <c r="DW9" s="94">
        <v>6240.600000000004</v>
      </c>
      <c r="DX9" s="94">
        <v>4753.2000000000071</v>
      </c>
      <c r="DY9" s="94">
        <v>4645.7000000000025</v>
      </c>
      <c r="DZ9" s="94">
        <v>5244.8999999999978</v>
      </c>
      <c r="EA9" s="94">
        <v>7445.7999999999984</v>
      </c>
      <c r="EB9" s="94">
        <v>10225.099999999999</v>
      </c>
      <c r="EC9" s="94">
        <v>12240.000000000013</v>
      </c>
      <c r="ED9" s="224" t="s">
        <v>296</v>
      </c>
      <c r="EE9" s="542">
        <v>9</v>
      </c>
      <c r="EF9" s="542">
        <v>14.8</v>
      </c>
      <c r="EG9" s="542">
        <v>23</v>
      </c>
      <c r="EH9" s="542">
        <v>31.3</v>
      </c>
      <c r="EI9" s="542">
        <v>62</v>
      </c>
      <c r="EJ9" s="542">
        <v>78.099999999999994</v>
      </c>
      <c r="EK9" s="542">
        <v>78.099999999999994</v>
      </c>
      <c r="EL9" s="545">
        <v>6</v>
      </c>
      <c r="EM9" s="545">
        <v>9.8000000000000007</v>
      </c>
      <c r="EN9" s="545">
        <v>15.1</v>
      </c>
      <c r="EO9" s="545">
        <v>23.2</v>
      </c>
      <c r="EP9" s="545">
        <v>48</v>
      </c>
      <c r="EQ9" s="545">
        <v>57.6</v>
      </c>
      <c r="ER9" s="545">
        <v>57.6</v>
      </c>
      <c r="ES9" s="533">
        <v>17.8</v>
      </c>
      <c r="ET9" s="533">
        <v>13</v>
      </c>
      <c r="EU9" s="537">
        <v>27.9</v>
      </c>
      <c r="EV9" s="537">
        <v>20.399999999999999</v>
      </c>
      <c r="EW9" s="540">
        <v>6.8</v>
      </c>
      <c r="EX9" s="540">
        <v>4.9000000000000004</v>
      </c>
    </row>
    <row r="10" spans="1:154" hidden="1">
      <c r="A10" s="345" t="s">
        <v>297</v>
      </c>
      <c r="B10" s="96">
        <v>2.5526451612903212</v>
      </c>
      <c r="C10" s="97">
        <v>3.846857142857143</v>
      </c>
      <c r="D10" s="97">
        <v>5.6500645161290324</v>
      </c>
      <c r="E10" s="97">
        <v>7.5519999999999987</v>
      </c>
      <c r="F10" s="97">
        <v>11.032774193548388</v>
      </c>
      <c r="G10" s="97">
        <v>14.8704</v>
      </c>
      <c r="H10" s="97">
        <v>18.255354838709678</v>
      </c>
      <c r="I10" s="97">
        <v>18.159354838709678</v>
      </c>
      <c r="J10" s="97">
        <v>15.706933333333334</v>
      </c>
      <c r="K10" s="97">
        <v>11.006709677419355</v>
      </c>
      <c r="L10" s="97">
        <v>5.7798666666666652</v>
      </c>
      <c r="M10" s="100">
        <v>3.1656720430107526</v>
      </c>
      <c r="N10" s="106">
        <v>3.41</v>
      </c>
      <c r="O10" s="106">
        <v>2.77</v>
      </c>
      <c r="P10" s="106">
        <v>3.9</v>
      </c>
      <c r="Q10" s="106">
        <v>5.67</v>
      </c>
      <c r="R10" s="106">
        <v>10.31</v>
      </c>
      <c r="S10" s="106">
        <v>13.89</v>
      </c>
      <c r="T10" s="106">
        <v>16.3</v>
      </c>
      <c r="U10" s="106">
        <v>17.04</v>
      </c>
      <c r="V10" s="106">
        <v>15.79</v>
      </c>
      <c r="W10" s="106">
        <v>13.01</v>
      </c>
      <c r="X10" s="106">
        <v>9.3000000000000007</v>
      </c>
      <c r="Y10" s="106">
        <v>5.85</v>
      </c>
      <c r="Z10" s="102">
        <v>1410.1612903225807</v>
      </c>
      <c r="AA10" s="4">
        <v>2205.0714285714284</v>
      </c>
      <c r="AB10" s="4">
        <v>3331.1612903225805</v>
      </c>
      <c r="AC10" s="4">
        <v>4205.3</v>
      </c>
      <c r="AD10" s="4">
        <v>5453.1290322580644</v>
      </c>
      <c r="AE10" s="4">
        <v>6523.7333333333336</v>
      </c>
      <c r="AF10" s="4">
        <v>7127.6129032258068</v>
      </c>
      <c r="AG10" s="4">
        <v>6316.3870967741932</v>
      </c>
      <c r="AH10" s="4">
        <v>4515.1333333333332</v>
      </c>
      <c r="AI10" s="4">
        <v>2918.9677419354839</v>
      </c>
      <c r="AJ10" s="4">
        <v>1792.1333333333334</v>
      </c>
      <c r="AK10" s="23">
        <v>1196.9354838709678</v>
      </c>
      <c r="AL10" s="29">
        <v>2283.4052672197731</v>
      </c>
      <c r="AM10" s="6">
        <v>2766.4248765559919</v>
      </c>
      <c r="AN10" s="6">
        <v>2997.6104073348047</v>
      </c>
      <c r="AO10" s="6">
        <v>2599.1073121709087</v>
      </c>
      <c r="AP10" s="6">
        <v>2603.4595969191287</v>
      </c>
      <c r="AQ10" s="6">
        <v>2692.5682770541575</v>
      </c>
      <c r="AR10" s="6">
        <v>2983.8627240355445</v>
      </c>
      <c r="AS10" s="6">
        <v>3415.9911670376941</v>
      </c>
      <c r="AT10" s="6">
        <v>3604.9894608662539</v>
      </c>
      <c r="AU10" s="6">
        <v>3471.265676396401</v>
      </c>
      <c r="AV10" s="6">
        <v>2870.8203668943052</v>
      </c>
      <c r="AW10" s="30">
        <v>2070.3037858938883</v>
      </c>
      <c r="AX10" s="39">
        <v>1814.5420931332474</v>
      </c>
      <c r="AY10" s="8">
        <v>2349.2855127756916</v>
      </c>
      <c r="AZ10" s="8">
        <v>2872.6257538231944</v>
      </c>
      <c r="BA10" s="8">
        <v>2903.9139717363028</v>
      </c>
      <c r="BB10" s="8">
        <v>3227.3393584863043</v>
      </c>
      <c r="BC10" s="8">
        <v>3547.4629027074716</v>
      </c>
      <c r="BD10" s="8">
        <v>3997.7307137347698</v>
      </c>
      <c r="BE10" s="8">
        <v>4168.7499298439097</v>
      </c>
      <c r="BF10" s="8">
        <v>3699.6781005195753</v>
      </c>
      <c r="BG10" s="8">
        <v>3026.2477064551017</v>
      </c>
      <c r="BH10" s="8">
        <v>2295.8523464750479</v>
      </c>
      <c r="BI10" s="40">
        <v>1623.3674277213329</v>
      </c>
      <c r="BJ10" s="49">
        <v>1094.9430812644071</v>
      </c>
      <c r="BK10" s="10">
        <v>1640.0307068926963</v>
      </c>
      <c r="BL10" s="10">
        <v>2355.1638416048168</v>
      </c>
      <c r="BM10" s="10">
        <v>2802.3067409841383</v>
      </c>
      <c r="BN10" s="10">
        <v>3514.8989466659164</v>
      </c>
      <c r="BO10" s="10">
        <v>4149.2790447941479</v>
      </c>
      <c r="BP10" s="10">
        <v>4603.0694670305647</v>
      </c>
      <c r="BQ10" s="10">
        <v>4245.4706868731682</v>
      </c>
      <c r="BR10" s="10">
        <v>3186.3480765296199</v>
      </c>
      <c r="BS10" s="10">
        <v>2178.1087300204722</v>
      </c>
      <c r="BT10" s="10">
        <v>1403.9445567834507</v>
      </c>
      <c r="BU10" s="50">
        <v>939.13099449537287</v>
      </c>
      <c r="BV10" s="57">
        <v>498.32659515673708</v>
      </c>
      <c r="BW10" s="12">
        <v>740.46840954433981</v>
      </c>
      <c r="BX10" s="12">
        <v>1070.1033723454832</v>
      </c>
      <c r="BY10" s="12">
        <v>1394.8991929636861</v>
      </c>
      <c r="BZ10" s="12">
        <v>1698.9622417588653</v>
      </c>
      <c r="CA10" s="12">
        <v>1851.7871490160735</v>
      </c>
      <c r="CB10" s="12">
        <v>1800.0859452093764</v>
      </c>
      <c r="CC10" s="12">
        <v>1581.6421542105722</v>
      </c>
      <c r="CD10" s="12">
        <v>1248.1944166774751</v>
      </c>
      <c r="CE10" s="12">
        <v>875.39897677902547</v>
      </c>
      <c r="CF10" s="12">
        <v>581.92536789905932</v>
      </c>
      <c r="CG10" s="63">
        <v>432.77307578789527</v>
      </c>
      <c r="CH10" s="71">
        <v>12199.100000000035</v>
      </c>
      <c r="CI10" s="71">
        <v>10146</v>
      </c>
      <c r="CJ10" s="71">
        <v>9871.9999999999927</v>
      </c>
      <c r="CK10" s="71">
        <v>8178.6000000000031</v>
      </c>
      <c r="CL10" s="71">
        <v>5909.0999999999985</v>
      </c>
      <c r="CM10" s="71">
        <v>3356.900000000001</v>
      </c>
      <c r="CN10" s="71">
        <v>1999.9000000000003</v>
      </c>
      <c r="CO10" s="71">
        <v>1968.9</v>
      </c>
      <c r="CP10" s="71">
        <v>2972.9999999999973</v>
      </c>
      <c r="CQ10" s="71">
        <v>5977.1999999999989</v>
      </c>
      <c r="CR10" s="71">
        <v>9473.1000000000095</v>
      </c>
      <c r="CS10" s="71">
        <v>11745.300000000001</v>
      </c>
      <c r="CT10" s="79">
        <v>0</v>
      </c>
      <c r="CU10" s="79">
        <v>0</v>
      </c>
      <c r="CV10" s="79">
        <v>0</v>
      </c>
      <c r="CW10" s="79">
        <v>0</v>
      </c>
      <c r="CX10" s="79">
        <v>67.30000000000004</v>
      </c>
      <c r="CY10" s="79">
        <v>480.2</v>
      </c>
      <c r="CZ10" s="79">
        <v>1556.4000000000008</v>
      </c>
      <c r="DA10" s="79">
        <v>1456.0000000000007</v>
      </c>
      <c r="DB10" s="79">
        <v>693.00000000000023</v>
      </c>
      <c r="DC10" s="79">
        <v>107.10000000000005</v>
      </c>
      <c r="DD10" s="79">
        <v>0</v>
      </c>
      <c r="DE10" s="79">
        <v>0</v>
      </c>
      <c r="DF10" s="87">
        <v>0</v>
      </c>
      <c r="DG10" s="87">
        <v>0</v>
      </c>
      <c r="DH10" s="87">
        <v>0</v>
      </c>
      <c r="DI10" s="87">
        <v>0</v>
      </c>
      <c r="DJ10" s="87">
        <v>0</v>
      </c>
      <c r="DK10" s="87">
        <v>1.2000000000000064</v>
      </c>
      <c r="DL10" s="87">
        <v>182.39999999999998</v>
      </c>
      <c r="DM10" s="87">
        <v>90.100000000000051</v>
      </c>
      <c r="DN10" s="87">
        <v>8.4000000000000092</v>
      </c>
      <c r="DO10" s="87">
        <v>0</v>
      </c>
      <c r="DP10" s="87">
        <v>0</v>
      </c>
      <c r="DQ10" s="87">
        <v>0</v>
      </c>
      <c r="DR10" s="94">
        <v>17407.100000000028</v>
      </c>
      <c r="DS10" s="94">
        <v>14849.999999999995</v>
      </c>
      <c r="DT10" s="94">
        <v>15079.999999999996</v>
      </c>
      <c r="DU10" s="94">
        <v>13218.600000000013</v>
      </c>
      <c r="DV10" s="94">
        <v>11049.799999999992</v>
      </c>
      <c r="DW10" s="94">
        <v>7917.9000000000015</v>
      </c>
      <c r="DX10" s="94">
        <v>5833.9000000000042</v>
      </c>
      <c r="DY10" s="94">
        <v>5810.9999999999982</v>
      </c>
      <c r="DZ10" s="94">
        <v>7328.4000000000078</v>
      </c>
      <c r="EA10" s="94">
        <v>11078.100000000031</v>
      </c>
      <c r="EB10" s="94">
        <v>14513.100000000013</v>
      </c>
      <c r="EC10" s="94">
        <v>16953.299999999996</v>
      </c>
      <c r="ED10" s="224" t="s">
        <v>294</v>
      </c>
      <c r="EE10" s="542">
        <v>16.899999999999999</v>
      </c>
      <c r="EF10" s="542">
        <v>25.9</v>
      </c>
      <c r="EG10" s="542">
        <v>38.700000000000003</v>
      </c>
      <c r="EH10" s="542">
        <v>58</v>
      </c>
      <c r="EI10" s="542">
        <v>101</v>
      </c>
      <c r="EJ10" s="542">
        <v>118.2</v>
      </c>
      <c r="EK10" s="542">
        <v>118.2</v>
      </c>
      <c r="EL10" s="545">
        <v>11.6</v>
      </c>
      <c r="EM10" s="545">
        <v>17.899999999999999</v>
      </c>
      <c r="EN10" s="545">
        <v>26.7</v>
      </c>
      <c r="EO10" s="545">
        <v>39.700000000000003</v>
      </c>
      <c r="EP10" s="545">
        <v>74.099999999999994</v>
      </c>
      <c r="EQ10" s="545">
        <v>86.7</v>
      </c>
      <c r="ER10" s="545">
        <v>86.7</v>
      </c>
      <c r="ES10" s="533">
        <v>18.8</v>
      </c>
      <c r="ET10" s="533">
        <v>13.8</v>
      </c>
      <c r="EU10" s="537">
        <v>29.5</v>
      </c>
      <c r="EV10" s="537">
        <v>21.7</v>
      </c>
      <c r="EW10" s="540">
        <v>7.1</v>
      </c>
      <c r="EX10" s="540">
        <v>5.2</v>
      </c>
    </row>
    <row r="11" spans="1:154" hidden="1">
      <c r="A11" s="345" t="s">
        <v>309</v>
      </c>
      <c r="B11" s="96">
        <v>7.766322580645161</v>
      </c>
      <c r="C11" s="97">
        <v>9.1848571428571422</v>
      </c>
      <c r="D11" s="97">
        <v>11.604516129032261</v>
      </c>
      <c r="E11" s="97">
        <v>12.906933333333335</v>
      </c>
      <c r="F11" s="97">
        <v>16.495999999999999</v>
      </c>
      <c r="G11" s="97">
        <v>22.118133333333336</v>
      </c>
      <c r="H11" s="97">
        <v>25.955612903225802</v>
      </c>
      <c r="I11" s="97">
        <v>25.308903225806457</v>
      </c>
      <c r="J11" s="97">
        <v>23.467333333333329</v>
      </c>
      <c r="K11" s="97">
        <v>17.350967741935488</v>
      </c>
      <c r="L11" s="97">
        <v>11.940133333333332</v>
      </c>
      <c r="M11" s="100">
        <v>8.7988010752688179</v>
      </c>
      <c r="N11" s="106">
        <v>8.66</v>
      </c>
      <c r="O11" s="106">
        <v>7.92</v>
      </c>
      <c r="P11" s="106">
        <v>9.23</v>
      </c>
      <c r="Q11" s="106">
        <v>11.28</v>
      </c>
      <c r="R11" s="106">
        <v>16.649999999999999</v>
      </c>
      <c r="S11" s="106">
        <v>20.79</v>
      </c>
      <c r="T11" s="106">
        <v>23.58</v>
      </c>
      <c r="U11" s="106">
        <v>24.43</v>
      </c>
      <c r="V11" s="106">
        <v>22.98</v>
      </c>
      <c r="W11" s="106">
        <v>19.77</v>
      </c>
      <c r="X11" s="106">
        <v>15.47</v>
      </c>
      <c r="Y11" s="106">
        <v>11.49</v>
      </c>
      <c r="Z11" s="102">
        <v>2199.9677419354839</v>
      </c>
      <c r="AA11" s="4">
        <v>2938.7857142857142</v>
      </c>
      <c r="AB11" s="4">
        <v>4412.4516129032254</v>
      </c>
      <c r="AC11" s="4">
        <v>4754.7</v>
      </c>
      <c r="AD11" s="4">
        <v>6398.8709677419356</v>
      </c>
      <c r="AE11" s="4">
        <v>7039.0666666666666</v>
      </c>
      <c r="AF11" s="4">
        <v>7584.0967741935483</v>
      </c>
      <c r="AG11" s="4">
        <v>6772.7741935483873</v>
      </c>
      <c r="AH11" s="4">
        <v>5023.5666666666666</v>
      </c>
      <c r="AI11" s="4">
        <v>3489.8709677419356</v>
      </c>
      <c r="AJ11" s="4">
        <v>2232.9666666666667</v>
      </c>
      <c r="AK11" s="23">
        <v>1773.2903225806451</v>
      </c>
      <c r="AL11" s="29">
        <v>3740.0099650068214</v>
      </c>
      <c r="AM11" s="6">
        <v>3680.5283659569222</v>
      </c>
      <c r="AN11" s="6">
        <v>3929.6115981038483</v>
      </c>
      <c r="AO11" s="6">
        <v>2780.0823151147797</v>
      </c>
      <c r="AP11" s="6">
        <v>2767.430864182847</v>
      </c>
      <c r="AQ11" s="6">
        <v>2637.4073672859963</v>
      </c>
      <c r="AR11" s="6">
        <v>2881.7637763456078</v>
      </c>
      <c r="AS11" s="6">
        <v>3388.1204408268154</v>
      </c>
      <c r="AT11" s="6">
        <v>3789.5485712999161</v>
      </c>
      <c r="AU11" s="6">
        <v>3986.8427758074108</v>
      </c>
      <c r="AV11" s="6">
        <v>3411.2182193250533</v>
      </c>
      <c r="AW11" s="30">
        <v>3118.8092066833292</v>
      </c>
      <c r="AX11" s="39">
        <v>2945.6234360620606</v>
      </c>
      <c r="AY11" s="8">
        <v>3130.1790799499377</v>
      </c>
      <c r="AZ11" s="8">
        <v>3810.6366012427816</v>
      </c>
      <c r="BA11" s="8">
        <v>3195.6554372265414</v>
      </c>
      <c r="BB11" s="8">
        <v>3649.5329139133491</v>
      </c>
      <c r="BC11" s="8">
        <v>3677.6904203035028</v>
      </c>
      <c r="BD11" s="8">
        <v>4082.2622212846945</v>
      </c>
      <c r="BE11" s="8">
        <v>4297.591330244104</v>
      </c>
      <c r="BF11" s="8">
        <v>3969.230016282112</v>
      </c>
      <c r="BG11" s="8">
        <v>3507.8126434144297</v>
      </c>
      <c r="BH11" s="8">
        <v>2745.143109045031</v>
      </c>
      <c r="BI11" s="40">
        <v>2433.9534380566688</v>
      </c>
      <c r="BJ11" s="49">
        <v>1729.3087916897691</v>
      </c>
      <c r="BK11" s="10">
        <v>2175.82551304154</v>
      </c>
      <c r="BL11" s="10">
        <v>3117.8640138504829</v>
      </c>
      <c r="BM11" s="10">
        <v>3133.7873184554965</v>
      </c>
      <c r="BN11" s="10">
        <v>4091.7238684034837</v>
      </c>
      <c r="BO11" s="10">
        <v>4423.9305149562761</v>
      </c>
      <c r="BP11" s="10">
        <v>4828.4825870313425</v>
      </c>
      <c r="BQ11" s="10">
        <v>4475.5114133694278</v>
      </c>
      <c r="BR11" s="10">
        <v>3479.7070143629162</v>
      </c>
      <c r="BS11" s="10">
        <v>2557.219846096822</v>
      </c>
      <c r="BT11" s="10">
        <v>1709.9821558884366</v>
      </c>
      <c r="BU11" s="50">
        <v>1392.5387286581856</v>
      </c>
      <c r="BV11" s="57">
        <v>635.27466428306582</v>
      </c>
      <c r="BW11" s="12">
        <v>861.4384519882276</v>
      </c>
      <c r="BX11" s="12">
        <v>1185.5166874246459</v>
      </c>
      <c r="BY11" s="12">
        <v>1468.9372295727621</v>
      </c>
      <c r="BZ11" s="12">
        <v>1749.7222634684747</v>
      </c>
      <c r="CA11" s="12">
        <v>1853.261075818876</v>
      </c>
      <c r="CB11" s="12">
        <v>1786.0761409983515</v>
      </c>
      <c r="CC11" s="12">
        <v>1594.7565213116945</v>
      </c>
      <c r="CD11" s="12">
        <v>1304.6708050922646</v>
      </c>
      <c r="CE11" s="12">
        <v>963.08308113104113</v>
      </c>
      <c r="CF11" s="12">
        <v>676.25516828083857</v>
      </c>
      <c r="CG11" s="63">
        <v>554.32735174094148</v>
      </c>
      <c r="CH11" s="71">
        <v>8322.8999999999978</v>
      </c>
      <c r="CI11" s="71">
        <v>6555.3000000000011</v>
      </c>
      <c r="CJ11" s="71">
        <v>5532.1999999999971</v>
      </c>
      <c r="CK11" s="71">
        <v>4442.1000000000004</v>
      </c>
      <c r="CL11" s="71">
        <v>2502.2000000000021</v>
      </c>
      <c r="CM11" s="71">
        <v>594.20000000000095</v>
      </c>
      <c r="CN11" s="71">
        <v>42.700000000000031</v>
      </c>
      <c r="CO11" s="71">
        <v>31.40000000000002</v>
      </c>
      <c r="CP11" s="71">
        <v>94.100000000000051</v>
      </c>
      <c r="CQ11" s="71">
        <v>1921.0000000000025</v>
      </c>
      <c r="CR11" s="71">
        <v>5087.1000000000004</v>
      </c>
      <c r="CS11" s="71">
        <v>7554.1999999999953</v>
      </c>
      <c r="CT11" s="79">
        <v>0.79999999999999716</v>
      </c>
      <c r="CU11" s="79">
        <v>0</v>
      </c>
      <c r="CV11" s="79">
        <v>93.000000000000028</v>
      </c>
      <c r="CW11" s="79">
        <v>113.60000000000002</v>
      </c>
      <c r="CX11" s="79">
        <v>718.20000000000016</v>
      </c>
      <c r="CY11" s="79">
        <v>2932.0999999999985</v>
      </c>
      <c r="CZ11" s="79">
        <v>5320.3000000000084</v>
      </c>
      <c r="DA11" s="79">
        <v>4823.6000000000004</v>
      </c>
      <c r="DB11" s="79">
        <v>3398.9999999999991</v>
      </c>
      <c r="DC11" s="79">
        <v>757.90000000000032</v>
      </c>
      <c r="DD11" s="79">
        <v>44.5</v>
      </c>
      <c r="DE11" s="79">
        <v>0</v>
      </c>
      <c r="DF11" s="87">
        <v>0</v>
      </c>
      <c r="DG11" s="87">
        <v>0</v>
      </c>
      <c r="DH11" s="87">
        <v>0</v>
      </c>
      <c r="DI11" s="87">
        <v>0</v>
      </c>
      <c r="DJ11" s="87">
        <v>27.600000000000005</v>
      </c>
      <c r="DK11" s="87">
        <v>643.20000000000027</v>
      </c>
      <c r="DL11" s="87">
        <v>1696.0999999999997</v>
      </c>
      <c r="DM11" s="87">
        <v>1399.1999999999989</v>
      </c>
      <c r="DN11" s="87">
        <v>785.80000000000007</v>
      </c>
      <c r="DO11" s="87">
        <v>13.800000000000004</v>
      </c>
      <c r="DP11" s="87">
        <v>0</v>
      </c>
      <c r="DQ11" s="87">
        <v>0</v>
      </c>
      <c r="DR11" s="94">
        <v>13530.100000000019</v>
      </c>
      <c r="DS11" s="94">
        <v>11259.300000000017</v>
      </c>
      <c r="DT11" s="94">
        <v>10647.200000000003</v>
      </c>
      <c r="DU11" s="94">
        <v>9368.5000000000127</v>
      </c>
      <c r="DV11" s="94">
        <v>7019.6</v>
      </c>
      <c r="DW11" s="94">
        <v>3345.2999999999952</v>
      </c>
      <c r="DX11" s="94">
        <v>1626.5000000000018</v>
      </c>
      <c r="DY11" s="94">
        <v>1815</v>
      </c>
      <c r="DZ11" s="94">
        <v>2520.8999999999978</v>
      </c>
      <c r="EA11" s="94">
        <v>6384.8999999999933</v>
      </c>
      <c r="EB11" s="94">
        <v>10082.600000000008</v>
      </c>
      <c r="EC11" s="94">
        <v>12762.199999999992</v>
      </c>
      <c r="ED11" s="224" t="s">
        <v>302</v>
      </c>
      <c r="EE11" s="542">
        <v>8</v>
      </c>
      <c r="EF11" s="542">
        <v>14</v>
      </c>
      <c r="EG11" s="542">
        <v>22.8</v>
      </c>
      <c r="EH11" s="542">
        <v>35.799999999999997</v>
      </c>
      <c r="EI11" s="542">
        <v>64.400000000000006</v>
      </c>
      <c r="EJ11" s="542">
        <v>79.2</v>
      </c>
      <c r="EK11" s="542">
        <v>79.2</v>
      </c>
      <c r="EL11" s="545">
        <v>5.4</v>
      </c>
      <c r="EM11" s="545">
        <v>9.5</v>
      </c>
      <c r="EN11" s="545">
        <v>15.3</v>
      </c>
      <c r="EO11" s="545">
        <v>24.1</v>
      </c>
      <c r="EP11" s="545">
        <v>52.4</v>
      </c>
      <c r="EQ11" s="545">
        <v>59.2</v>
      </c>
      <c r="ER11" s="545">
        <v>59.2</v>
      </c>
      <c r="ES11" s="533">
        <v>17.3</v>
      </c>
      <c r="ET11" s="533">
        <v>12.7</v>
      </c>
      <c r="EU11" s="537">
        <v>27.2</v>
      </c>
      <c r="EV11" s="537">
        <v>19.899999999999999</v>
      </c>
      <c r="EW11" s="540">
        <v>6.6</v>
      </c>
      <c r="EX11" s="540">
        <v>4.8</v>
      </c>
    </row>
    <row r="12" spans="1:154" hidden="1">
      <c r="A12" s="345" t="s">
        <v>317</v>
      </c>
      <c r="B12" s="96">
        <v>12.839870967741938</v>
      </c>
      <c r="C12" s="97">
        <v>13.478285714285715</v>
      </c>
      <c r="D12" s="97">
        <v>14.768774193548383</v>
      </c>
      <c r="E12" s="97">
        <v>16.306133333333332</v>
      </c>
      <c r="F12" s="97">
        <v>18.786064516129031</v>
      </c>
      <c r="G12" s="97">
        <v>21.625999999999998</v>
      </c>
      <c r="H12" s="97">
        <v>24.09367741935484</v>
      </c>
      <c r="I12" s="97">
        <v>24.59690322580645</v>
      </c>
      <c r="J12" s="97">
        <v>23.580266666666663</v>
      </c>
      <c r="K12" s="97">
        <v>20.254064516129027</v>
      </c>
      <c r="L12" s="97">
        <v>16.2776</v>
      </c>
      <c r="M12" s="100">
        <v>13.518666666666666</v>
      </c>
      <c r="N12" s="106">
        <v>13.42</v>
      </c>
      <c r="O12" s="106">
        <v>12.95</v>
      </c>
      <c r="P12" s="106">
        <v>13.79</v>
      </c>
      <c r="Q12" s="106">
        <v>15.11</v>
      </c>
      <c r="R12" s="106">
        <v>18.55</v>
      </c>
      <c r="S12" s="106">
        <v>21.21</v>
      </c>
      <c r="T12" s="106">
        <v>23</v>
      </c>
      <c r="U12" s="106">
        <v>23.55</v>
      </c>
      <c r="V12" s="106">
        <v>22.62</v>
      </c>
      <c r="W12" s="106">
        <v>20.56</v>
      </c>
      <c r="X12" s="106">
        <v>17.8</v>
      </c>
      <c r="Y12" s="106">
        <v>15.24</v>
      </c>
      <c r="Z12" s="102">
        <v>2917.6774193548385</v>
      </c>
      <c r="AA12" s="4">
        <v>3952.7142857142858</v>
      </c>
      <c r="AB12" s="4">
        <v>5130.7741935483873</v>
      </c>
      <c r="AC12" s="4">
        <v>6264.3666666666668</v>
      </c>
      <c r="AD12" s="4">
        <v>7604.2580645161288</v>
      </c>
      <c r="AE12" s="4">
        <v>8246.1</v>
      </c>
      <c r="AF12" s="4">
        <v>8438.2580645161288</v>
      </c>
      <c r="AG12" s="4">
        <v>7871.6451612903229</v>
      </c>
      <c r="AH12" s="4">
        <v>6093.3</v>
      </c>
      <c r="AI12" s="4">
        <v>4715.8709677419356</v>
      </c>
      <c r="AJ12" s="4">
        <v>3268.2666666666669</v>
      </c>
      <c r="AK12" s="23">
        <v>2733.8709677419356</v>
      </c>
      <c r="AL12" s="29">
        <v>1199.278416621735</v>
      </c>
      <c r="AM12" s="6">
        <v>1422.3104461265386</v>
      </c>
      <c r="AN12" s="6">
        <v>1576.6779220766205</v>
      </c>
      <c r="AO12" s="6">
        <v>1590.3035664285117</v>
      </c>
      <c r="AP12" s="6">
        <v>1396.6257531394742</v>
      </c>
      <c r="AQ12" s="6">
        <v>1162.0178638291814</v>
      </c>
      <c r="AR12" s="6">
        <v>1150.8819787637171</v>
      </c>
      <c r="AS12" s="6">
        <v>1420.0070924555559</v>
      </c>
      <c r="AT12" s="6">
        <v>1603.8060523461727</v>
      </c>
      <c r="AU12" s="6">
        <v>1520.0659416690448</v>
      </c>
      <c r="AV12" s="6">
        <v>1277.7559422074701</v>
      </c>
      <c r="AW12" s="30">
        <v>1147.3476976707614</v>
      </c>
      <c r="AX12" s="39">
        <v>1858.3950464324528</v>
      </c>
      <c r="AY12" s="8">
        <v>2362.534272890302</v>
      </c>
      <c r="AZ12" s="8">
        <v>2719.9711580820749</v>
      </c>
      <c r="BA12" s="8">
        <v>2679.9079143262143</v>
      </c>
      <c r="BB12" s="8">
        <v>2081.2090607774567</v>
      </c>
      <c r="BC12" s="8">
        <v>1346.5819645889701</v>
      </c>
      <c r="BD12" s="8">
        <v>1645.5097350690562</v>
      </c>
      <c r="BE12" s="8">
        <v>2709.3554466420856</v>
      </c>
      <c r="BF12" s="8">
        <v>2977.1775841073004</v>
      </c>
      <c r="BG12" s="8">
        <v>2715.9402928723439</v>
      </c>
      <c r="BH12" s="8">
        <v>2056.8953868652138</v>
      </c>
      <c r="BI12" s="40">
        <v>1767.1033148574929</v>
      </c>
      <c r="BJ12" s="49">
        <v>1751.6795706174919</v>
      </c>
      <c r="BK12" s="10">
        <v>2372.7540664924481</v>
      </c>
      <c r="BL12" s="10">
        <v>3078.8376525280628</v>
      </c>
      <c r="BM12" s="10">
        <v>3756.9133249369361</v>
      </c>
      <c r="BN12" s="10">
        <v>4557.3200568015736</v>
      </c>
      <c r="BO12" s="10">
        <v>4939.7867221007182</v>
      </c>
      <c r="BP12" s="10">
        <v>5055.5690576859979</v>
      </c>
      <c r="BQ12" s="10">
        <v>4719.1820766957617</v>
      </c>
      <c r="BR12" s="10">
        <v>3655.6624981557075</v>
      </c>
      <c r="BS12" s="10">
        <v>2830.6767873270996</v>
      </c>
      <c r="BT12" s="10">
        <v>1962.1544642155313</v>
      </c>
      <c r="BU12" s="50">
        <v>1641.3889642797333</v>
      </c>
      <c r="BV12" s="57">
        <v>1199.278416621735</v>
      </c>
      <c r="BW12" s="12">
        <v>1422.3104461265386</v>
      </c>
      <c r="BX12" s="12">
        <v>1576.6779220766205</v>
      </c>
      <c r="BY12" s="12">
        <v>1590.3035664285117</v>
      </c>
      <c r="BZ12" s="12">
        <v>1396.6257531394742</v>
      </c>
      <c r="CA12" s="12">
        <v>1162.0178638291814</v>
      </c>
      <c r="CB12" s="12">
        <v>1150.8819787637171</v>
      </c>
      <c r="CC12" s="12">
        <v>1420.0070924555559</v>
      </c>
      <c r="CD12" s="12">
        <v>1603.8060523461727</v>
      </c>
      <c r="CE12" s="12">
        <v>1520.0659416690448</v>
      </c>
      <c r="CF12" s="12">
        <v>1277.7559422074701</v>
      </c>
      <c r="CG12" s="63">
        <v>1147.3476976707614</v>
      </c>
      <c r="CH12" s="71">
        <v>4647.0000000000036</v>
      </c>
      <c r="CI12" s="71">
        <v>3770.1000000000054</v>
      </c>
      <c r="CJ12" s="71">
        <v>3366.9999999999923</v>
      </c>
      <c r="CK12" s="71">
        <v>2183.400000000001</v>
      </c>
      <c r="CL12" s="71">
        <v>952.60000000000252</v>
      </c>
      <c r="CM12" s="71">
        <v>164.6999999999999</v>
      </c>
      <c r="CN12" s="71">
        <v>26.8</v>
      </c>
      <c r="CO12" s="71">
        <v>0.90000000000000213</v>
      </c>
      <c r="CP12" s="71">
        <v>2.5000000000000249</v>
      </c>
      <c r="CQ12" s="71">
        <v>504.79999999999956</v>
      </c>
      <c r="CR12" s="71">
        <v>2272.4000000000019</v>
      </c>
      <c r="CS12" s="71">
        <v>4150.5999999999958</v>
      </c>
      <c r="CT12" s="79">
        <v>0</v>
      </c>
      <c r="CU12" s="79">
        <v>5.2000000000000028</v>
      </c>
      <c r="CV12" s="79">
        <v>140.70000000000002</v>
      </c>
      <c r="CW12" s="79">
        <v>166.60000000000005</v>
      </c>
      <c r="CX12" s="79">
        <v>718.1999999999997</v>
      </c>
      <c r="CY12" s="79">
        <v>1972.6999999999987</v>
      </c>
      <c r="CZ12" s="79">
        <v>3731.9000000000092</v>
      </c>
      <c r="DA12" s="79">
        <v>4087.7000000000098</v>
      </c>
      <c r="DB12" s="79">
        <v>3231.399999999996</v>
      </c>
      <c r="DC12" s="79">
        <v>1361.9000000000019</v>
      </c>
      <c r="DD12" s="79">
        <v>237.29999999999998</v>
      </c>
      <c r="DE12" s="79">
        <v>4.1999999999999957</v>
      </c>
      <c r="DF12" s="87">
        <v>0</v>
      </c>
      <c r="DG12" s="87">
        <v>0</v>
      </c>
      <c r="DH12" s="87">
        <v>0</v>
      </c>
      <c r="DI12" s="87">
        <v>0</v>
      </c>
      <c r="DJ12" s="87">
        <v>0.10000000000000142</v>
      </c>
      <c r="DK12" s="87">
        <v>24.600000000000012</v>
      </c>
      <c r="DL12" s="87">
        <v>311.39999999999992</v>
      </c>
      <c r="DM12" s="87">
        <v>409.7999999999999</v>
      </c>
      <c r="DN12" s="87">
        <v>190.69999999999993</v>
      </c>
      <c r="DO12" s="87">
        <v>5.8000000000000043</v>
      </c>
      <c r="DP12" s="87">
        <v>0</v>
      </c>
      <c r="DQ12" s="87">
        <v>0</v>
      </c>
      <c r="DR12" s="94">
        <v>9854.9999999999873</v>
      </c>
      <c r="DS12" s="94">
        <v>8468.8999999999924</v>
      </c>
      <c r="DT12" s="94">
        <v>8434.3000000000175</v>
      </c>
      <c r="DU12" s="94">
        <v>7056.7999999999965</v>
      </c>
      <c r="DV12" s="94">
        <v>5442.5000000000091</v>
      </c>
      <c r="DW12" s="94">
        <v>3256.6000000000022</v>
      </c>
      <c r="DX12" s="94">
        <v>1814.2999999999977</v>
      </c>
      <c r="DY12" s="94">
        <v>1530.9999999999982</v>
      </c>
      <c r="DZ12" s="94">
        <v>2001.8000000000018</v>
      </c>
      <c r="EA12" s="94">
        <v>4356.7000000000053</v>
      </c>
      <c r="EB12" s="94">
        <v>7075.099999999994</v>
      </c>
      <c r="EC12" s="94">
        <v>9354.4000000000051</v>
      </c>
      <c r="ED12" s="224" t="s">
        <v>344</v>
      </c>
      <c r="EE12" s="542">
        <v>3.9</v>
      </c>
      <c r="EF12" s="542">
        <v>7.4</v>
      </c>
      <c r="EG12" s="542">
        <v>12.5</v>
      </c>
      <c r="EH12" s="542">
        <v>20.100000000000001</v>
      </c>
      <c r="EI12" s="542">
        <v>37.299999999999997</v>
      </c>
      <c r="EJ12" s="542">
        <v>44.8</v>
      </c>
      <c r="EK12" s="542">
        <v>44.8</v>
      </c>
      <c r="EL12" s="545">
        <v>2.4</v>
      </c>
      <c r="EM12" s="545">
        <v>4.5999999999999996</v>
      </c>
      <c r="EN12" s="545">
        <v>7.8</v>
      </c>
      <c r="EO12" s="545">
        <v>12.5</v>
      </c>
      <c r="EP12" s="545">
        <v>26.2</v>
      </c>
      <c r="EQ12" s="545">
        <v>29.6</v>
      </c>
      <c r="ER12" s="545">
        <v>29.6</v>
      </c>
      <c r="ES12" s="533">
        <v>16.7</v>
      </c>
      <c r="ET12" s="533">
        <v>12.3</v>
      </c>
      <c r="EU12" s="537">
        <v>26.2</v>
      </c>
      <c r="EV12" s="537">
        <v>19.3</v>
      </c>
      <c r="EW12" s="540">
        <v>6.3</v>
      </c>
      <c r="EX12" s="540">
        <v>4.7</v>
      </c>
    </row>
    <row r="13" spans="1:154" hidden="1">
      <c r="A13" s="345" t="s">
        <v>318</v>
      </c>
      <c r="B13" s="96">
        <v>9.9932903225806484</v>
      </c>
      <c r="C13" s="97">
        <v>11.047142857142857</v>
      </c>
      <c r="D13" s="97">
        <v>12.557935483870965</v>
      </c>
      <c r="E13" s="97">
        <v>14.069599999999996</v>
      </c>
      <c r="F13" s="97">
        <v>17.113290322580646</v>
      </c>
      <c r="G13" s="97">
        <v>21.162400000000002</v>
      </c>
      <c r="H13" s="97">
        <v>24.05290322580645</v>
      </c>
      <c r="I13" s="97">
        <v>24.350064516129031</v>
      </c>
      <c r="J13" s="97">
        <v>22.251199999999997</v>
      </c>
      <c r="K13" s="97">
        <v>18.205161290322579</v>
      </c>
      <c r="L13" s="97">
        <v>13.4772</v>
      </c>
      <c r="M13" s="100">
        <v>11.104338709677423</v>
      </c>
      <c r="N13" s="106">
        <v>10.79</v>
      </c>
      <c r="O13" s="106">
        <v>10.210000000000001</v>
      </c>
      <c r="P13" s="106">
        <v>11.24</v>
      </c>
      <c r="Q13" s="106">
        <v>12.86</v>
      </c>
      <c r="R13" s="106">
        <v>17.079999999999998</v>
      </c>
      <c r="S13" s="106">
        <v>20.34</v>
      </c>
      <c r="T13" s="106">
        <v>22.54</v>
      </c>
      <c r="U13" s="106">
        <v>23.21</v>
      </c>
      <c r="V13" s="106">
        <v>22.07</v>
      </c>
      <c r="W13" s="106">
        <v>19.54</v>
      </c>
      <c r="X13" s="106">
        <v>16.16</v>
      </c>
      <c r="Y13" s="106">
        <v>13.02</v>
      </c>
      <c r="Z13" s="102">
        <v>2351.516129032258</v>
      </c>
      <c r="AA13" s="4">
        <v>3092.8571428571427</v>
      </c>
      <c r="AB13" s="4">
        <v>4186.8387096774195</v>
      </c>
      <c r="AC13" s="4">
        <v>5096.7666666666664</v>
      </c>
      <c r="AD13" s="4">
        <v>6079.9677419354839</v>
      </c>
      <c r="AE13" s="4">
        <v>6641.5666666666666</v>
      </c>
      <c r="AF13" s="4">
        <v>6841.8064516129034</v>
      </c>
      <c r="AG13" s="4">
        <v>5906.7419354838712</v>
      </c>
      <c r="AH13" s="4">
        <v>4805.3999999999996</v>
      </c>
      <c r="AI13" s="4">
        <v>3518.5483870967741</v>
      </c>
      <c r="AJ13" s="4">
        <v>2566.8000000000002</v>
      </c>
      <c r="AK13" s="23">
        <v>2059.6451612903224</v>
      </c>
      <c r="AL13" s="29">
        <v>4228.5681316428581</v>
      </c>
      <c r="AM13" s="6">
        <v>4023.6940115751272</v>
      </c>
      <c r="AN13" s="6">
        <v>3732.3368475945972</v>
      </c>
      <c r="AO13" s="6">
        <v>3006.1590491891102</v>
      </c>
      <c r="AP13" s="6">
        <v>2696.3409777925094</v>
      </c>
      <c r="AQ13" s="6">
        <v>2582.5724898705416</v>
      </c>
      <c r="AR13" s="6">
        <v>2745.2303215207917</v>
      </c>
      <c r="AS13" s="6">
        <v>3044.9011285966385</v>
      </c>
      <c r="AT13" s="6">
        <v>3645.2202679094908</v>
      </c>
      <c r="AU13" s="6">
        <v>4099.3061154000306</v>
      </c>
      <c r="AV13" s="6">
        <v>4267.7052401482051</v>
      </c>
      <c r="AW13" s="30">
        <v>3998.9347305892866</v>
      </c>
      <c r="AX13" s="39">
        <v>3304.6411136855077</v>
      </c>
      <c r="AY13" s="8">
        <v>3400.5624939416152</v>
      </c>
      <c r="AZ13" s="8">
        <v>3611.4397950845273</v>
      </c>
      <c r="BA13" s="8">
        <v>3469.5405327077265</v>
      </c>
      <c r="BB13" s="8">
        <v>3493.9369733935873</v>
      </c>
      <c r="BC13" s="8">
        <v>3511.3985652063479</v>
      </c>
      <c r="BD13" s="8">
        <v>3736.1507850313965</v>
      </c>
      <c r="BE13" s="8">
        <v>3752.4389451660982</v>
      </c>
      <c r="BF13" s="8">
        <v>3801.6906532685844</v>
      </c>
      <c r="BG13" s="8">
        <v>3594.033268474996</v>
      </c>
      <c r="BH13" s="8">
        <v>3391.2448805607269</v>
      </c>
      <c r="BI13" s="40">
        <v>3079.2955478947647</v>
      </c>
      <c r="BJ13" s="49">
        <v>1889.5536062752083</v>
      </c>
      <c r="BK13" s="10">
        <v>2323.859402055401</v>
      </c>
      <c r="BL13" s="10">
        <v>2957.2004251627263</v>
      </c>
      <c r="BM13" s="10">
        <v>3387.6699619740575</v>
      </c>
      <c r="BN13" s="10">
        <v>3888.5956207297754</v>
      </c>
      <c r="BO13" s="10">
        <v>4175.3892040617902</v>
      </c>
      <c r="BP13" s="10">
        <v>4348.0247980206777</v>
      </c>
      <c r="BQ13" s="10">
        <v>3880.584546871301</v>
      </c>
      <c r="BR13" s="10">
        <v>3329.7306431325446</v>
      </c>
      <c r="BS13" s="10">
        <v>2598.8048181453464</v>
      </c>
      <c r="BT13" s="10">
        <v>2029.6745243976547</v>
      </c>
      <c r="BU13" s="50">
        <v>1679.4425251120672</v>
      </c>
      <c r="BV13" s="57">
        <v>633.76941129875831</v>
      </c>
      <c r="BW13" s="12">
        <v>861.57927161577527</v>
      </c>
      <c r="BX13" s="12">
        <v>1169.2348090830267</v>
      </c>
      <c r="BY13" s="12">
        <v>1488.2176637472969</v>
      </c>
      <c r="BZ13" s="12">
        <v>1739.135714036265</v>
      </c>
      <c r="CA13" s="12">
        <v>1849.0877715282363</v>
      </c>
      <c r="CB13" s="12">
        <v>1801.2697012197198</v>
      </c>
      <c r="CC13" s="12">
        <v>1598.6270289331683</v>
      </c>
      <c r="CD13" s="12">
        <v>1293.394127149938</v>
      </c>
      <c r="CE13" s="12">
        <v>954.78863808591268</v>
      </c>
      <c r="CF13" s="12">
        <v>688.04313670955457</v>
      </c>
      <c r="CG13" s="63">
        <v>568.1540806450098</v>
      </c>
      <c r="CH13" s="71">
        <v>6662.4999999999991</v>
      </c>
      <c r="CI13" s="71">
        <v>5324.5999999999995</v>
      </c>
      <c r="CJ13" s="71">
        <v>4800.9999999999927</v>
      </c>
      <c r="CK13" s="71">
        <v>3652.2999999999984</v>
      </c>
      <c r="CL13" s="71">
        <v>2067.4000000000005</v>
      </c>
      <c r="CM13" s="71">
        <v>458.69999999999987</v>
      </c>
      <c r="CN13" s="71">
        <v>37.000000000000014</v>
      </c>
      <c r="CO13" s="71">
        <v>41.300000000000033</v>
      </c>
      <c r="CP13" s="71">
        <v>99.800000000000097</v>
      </c>
      <c r="CQ13" s="71">
        <v>1423.5000000000011</v>
      </c>
      <c r="CR13" s="71">
        <v>3998.2000000000007</v>
      </c>
      <c r="CS13" s="71">
        <v>5833.1000000000013</v>
      </c>
      <c r="CT13" s="79">
        <v>10.100000000000001</v>
      </c>
      <c r="CU13" s="79">
        <v>36.5</v>
      </c>
      <c r="CV13" s="79">
        <v>79.399999999999977</v>
      </c>
      <c r="CW13" s="79">
        <v>171.09999999999994</v>
      </c>
      <c r="CX13" s="79">
        <v>732.50000000000045</v>
      </c>
      <c r="CY13" s="79">
        <v>2090.0000000000005</v>
      </c>
      <c r="CZ13" s="79">
        <v>3865.5999999999995</v>
      </c>
      <c r="DA13" s="79">
        <v>4095.7999999999956</v>
      </c>
      <c r="DB13" s="79">
        <v>2508.0999999999995</v>
      </c>
      <c r="DC13" s="79">
        <v>897.09999999999991</v>
      </c>
      <c r="DD13" s="79">
        <v>71.699999999999989</v>
      </c>
      <c r="DE13" s="79">
        <v>7.5999999999999943</v>
      </c>
      <c r="DF13" s="87">
        <v>0</v>
      </c>
      <c r="DG13" s="87">
        <v>0</v>
      </c>
      <c r="DH13" s="87">
        <v>0</v>
      </c>
      <c r="DI13" s="87">
        <v>0</v>
      </c>
      <c r="DJ13" s="87">
        <v>21.200000000000003</v>
      </c>
      <c r="DK13" s="87">
        <v>237.09999999999997</v>
      </c>
      <c r="DL13" s="87">
        <v>638.60000000000014</v>
      </c>
      <c r="DM13" s="87">
        <v>654.50000000000057</v>
      </c>
      <c r="DN13" s="87">
        <v>241.30000000000007</v>
      </c>
      <c r="DO13" s="87">
        <v>47.900000000000006</v>
      </c>
      <c r="DP13" s="87">
        <v>0</v>
      </c>
      <c r="DQ13" s="87">
        <v>0</v>
      </c>
      <c r="DR13" s="94">
        <v>11860.399999999996</v>
      </c>
      <c r="DS13" s="94">
        <v>9992.1000000000095</v>
      </c>
      <c r="DT13" s="94">
        <v>9929.6000000000095</v>
      </c>
      <c r="DU13" s="94">
        <v>8521.2000000000025</v>
      </c>
      <c r="DV13" s="94">
        <v>6564.1000000000022</v>
      </c>
      <c r="DW13" s="94">
        <v>3645.799999999997</v>
      </c>
      <c r="DX13" s="94">
        <v>2018.0000000000016</v>
      </c>
      <c r="DY13" s="94">
        <v>1808.0000000000016</v>
      </c>
      <c r="DZ13" s="94">
        <v>2872.999999999995</v>
      </c>
      <c r="EA13" s="94">
        <v>5782.2999999999984</v>
      </c>
      <c r="EB13" s="94">
        <v>8966.4999999999945</v>
      </c>
      <c r="EC13" s="94">
        <v>11033.500000000015</v>
      </c>
      <c r="ED13" s="224" t="s">
        <v>298</v>
      </c>
      <c r="EE13" s="542">
        <v>5.4</v>
      </c>
      <c r="EF13" s="542">
        <v>10.4</v>
      </c>
      <c r="EG13" s="542">
        <v>17.5</v>
      </c>
      <c r="EH13" s="542">
        <v>28.1</v>
      </c>
      <c r="EI13" s="542">
        <v>58.3</v>
      </c>
      <c r="EJ13" s="542">
        <v>68.2</v>
      </c>
      <c r="EK13" s="542">
        <v>68.2</v>
      </c>
      <c r="EL13" s="545">
        <v>3.5</v>
      </c>
      <c r="EM13" s="545">
        <v>6.6</v>
      </c>
      <c r="EN13" s="545">
        <v>11.2</v>
      </c>
      <c r="EO13" s="545">
        <v>17.899999999999999</v>
      </c>
      <c r="EP13" s="545">
        <v>42.7</v>
      </c>
      <c r="EQ13" s="545">
        <v>48.3</v>
      </c>
      <c r="ER13" s="545">
        <v>48.3</v>
      </c>
      <c r="ES13" s="533">
        <v>17.100000000000001</v>
      </c>
      <c r="ET13" s="533">
        <v>12.5</v>
      </c>
      <c r="EU13" s="537">
        <v>26.8</v>
      </c>
      <c r="EV13" s="537">
        <v>19.600000000000001</v>
      </c>
      <c r="EW13" s="540">
        <v>6.5</v>
      </c>
      <c r="EX13" s="540">
        <v>4.8</v>
      </c>
    </row>
    <row r="14" spans="1:154" hidden="1">
      <c r="A14" s="345" t="s">
        <v>319</v>
      </c>
      <c r="B14" s="96">
        <v>5.548774193548387</v>
      </c>
      <c r="C14" s="97">
        <v>7.1912857142857147</v>
      </c>
      <c r="D14" s="97">
        <v>9.6103225806451622</v>
      </c>
      <c r="E14" s="97">
        <v>11.875866666666667</v>
      </c>
      <c r="F14" s="97">
        <v>15.995741935483872</v>
      </c>
      <c r="G14" s="97">
        <v>20.807466666666659</v>
      </c>
      <c r="H14" s="97">
        <v>25.013161290322579</v>
      </c>
      <c r="I14" s="97">
        <v>24.658967741935488</v>
      </c>
      <c r="J14" s="97">
        <v>20.950266666666671</v>
      </c>
      <c r="K14" s="97">
        <v>14.812387096774192</v>
      </c>
      <c r="L14" s="97">
        <v>9.0230666666666668</v>
      </c>
      <c r="M14" s="100">
        <v>5.8468333333333335</v>
      </c>
      <c r="N14" s="106">
        <v>6.34</v>
      </c>
      <c r="O14" s="106">
        <v>5.55</v>
      </c>
      <c r="P14" s="106">
        <v>6.95</v>
      </c>
      <c r="Q14" s="106">
        <v>9.1199999999999992</v>
      </c>
      <c r="R14" s="106">
        <v>14.82</v>
      </c>
      <c r="S14" s="106">
        <v>19.21</v>
      </c>
      <c r="T14" s="106">
        <v>22.17</v>
      </c>
      <c r="U14" s="106">
        <v>23.07</v>
      </c>
      <c r="V14" s="106">
        <v>21.54</v>
      </c>
      <c r="W14" s="106">
        <v>18.13</v>
      </c>
      <c r="X14" s="106">
        <v>13.57</v>
      </c>
      <c r="Y14" s="106">
        <v>9.34</v>
      </c>
      <c r="Z14" s="102">
        <v>2126.7096774193546</v>
      </c>
      <c r="AA14" s="4">
        <v>3218</v>
      </c>
      <c r="AB14" s="4">
        <v>4412.5161290322585</v>
      </c>
      <c r="AC14" s="4">
        <v>5495.6333333333332</v>
      </c>
      <c r="AD14" s="4">
        <v>6944.8387096774195</v>
      </c>
      <c r="AE14" s="4">
        <v>7630.0666666666666</v>
      </c>
      <c r="AF14" s="4">
        <v>8172.1290322580644</v>
      </c>
      <c r="AG14" s="4">
        <v>7436.0645161290322</v>
      </c>
      <c r="AH14" s="4">
        <v>5530.333333333333</v>
      </c>
      <c r="AI14" s="4">
        <v>3921.6129032258063</v>
      </c>
      <c r="AJ14" s="4">
        <v>2595.4</v>
      </c>
      <c r="AK14" s="23">
        <v>1978.0645161290322</v>
      </c>
      <c r="AL14" s="29">
        <v>3472.6157149749833</v>
      </c>
      <c r="AM14" s="6">
        <v>4093.9929123347656</v>
      </c>
      <c r="AN14" s="6">
        <v>3877.0494971246144</v>
      </c>
      <c r="AO14" s="6">
        <v>3169.1565434045069</v>
      </c>
      <c r="AP14" s="6">
        <v>2894.0806766682144</v>
      </c>
      <c r="AQ14" s="6">
        <v>2713.2109902691304</v>
      </c>
      <c r="AR14" s="6">
        <v>2956.2487922090868</v>
      </c>
      <c r="AS14" s="6">
        <v>3617.4170820437234</v>
      </c>
      <c r="AT14" s="6">
        <v>4179.0496275448149</v>
      </c>
      <c r="AU14" s="6">
        <v>4584.8220301775173</v>
      </c>
      <c r="AV14" s="6">
        <v>4136.1016497396377</v>
      </c>
      <c r="AW14" s="30">
        <v>3563.2344893552381</v>
      </c>
      <c r="AX14" s="39">
        <v>2750.8007224362595</v>
      </c>
      <c r="AY14" s="8">
        <v>3473.9101755780312</v>
      </c>
      <c r="AZ14" s="8">
        <v>3771.2241505223519</v>
      </c>
      <c r="BA14" s="8">
        <v>3713.8475369686353</v>
      </c>
      <c r="BB14" s="8">
        <v>3923.4685059878348</v>
      </c>
      <c r="BC14" s="8">
        <v>3924.9235627647113</v>
      </c>
      <c r="BD14" s="8">
        <v>4339.9024845099466</v>
      </c>
      <c r="BE14" s="8">
        <v>4701.4264790647521</v>
      </c>
      <c r="BF14" s="8">
        <v>4403.8050543303771</v>
      </c>
      <c r="BG14" s="8">
        <v>4022.5534435797608</v>
      </c>
      <c r="BH14" s="8">
        <v>3306.2830141714244</v>
      </c>
      <c r="BI14" s="40">
        <v>2770.0862934434631</v>
      </c>
      <c r="BJ14" s="49">
        <v>1645.8990489320854</v>
      </c>
      <c r="BK14" s="10">
        <v>2394.623800605204</v>
      </c>
      <c r="BL14" s="10">
        <v>3101.4755883142507</v>
      </c>
      <c r="BM14" s="10">
        <v>3647.3438223527692</v>
      </c>
      <c r="BN14" s="10">
        <v>4446.0690085623355</v>
      </c>
      <c r="BO14" s="10">
        <v>4797.236801283736</v>
      </c>
      <c r="BP14" s="10">
        <v>5205.6661738111152</v>
      </c>
      <c r="BQ14" s="10">
        <v>4928.7934921446413</v>
      </c>
      <c r="BR14" s="10">
        <v>3849.0210377237477</v>
      </c>
      <c r="BS14" s="10">
        <v>2898.0532932185474</v>
      </c>
      <c r="BT14" s="10">
        <v>2016.0665612905523</v>
      </c>
      <c r="BU14" s="50">
        <v>1565.1745509905786</v>
      </c>
      <c r="BV14" s="57">
        <v>638.59528421723462</v>
      </c>
      <c r="BW14" s="12">
        <v>887.00884429933365</v>
      </c>
      <c r="BX14" s="12">
        <v>1193.8502637353049</v>
      </c>
      <c r="BY14" s="12">
        <v>1514.178110707192</v>
      </c>
      <c r="BZ14" s="12">
        <v>1753.0945386114572</v>
      </c>
      <c r="CA14" s="12">
        <v>1842.322679546169</v>
      </c>
      <c r="CB14" s="12">
        <v>1747.3529005956959</v>
      </c>
      <c r="CC14" s="12">
        <v>1556.1320679664082</v>
      </c>
      <c r="CD14" s="12">
        <v>1307.9179941894606</v>
      </c>
      <c r="CE14" s="12">
        <v>983.22459047075984</v>
      </c>
      <c r="CF14" s="12">
        <v>710.25687547269069</v>
      </c>
      <c r="CG14" s="63">
        <v>581.95436377568149</v>
      </c>
      <c r="CH14" s="71">
        <v>9958.9999999999909</v>
      </c>
      <c r="CI14" s="71">
        <v>7893.800000000002</v>
      </c>
      <c r="CJ14" s="71">
        <v>6966.8000000000029</v>
      </c>
      <c r="CK14" s="71">
        <v>5224.0999999999958</v>
      </c>
      <c r="CL14" s="71">
        <v>3054.9999999999977</v>
      </c>
      <c r="CM14" s="71">
        <v>1100.700000000001</v>
      </c>
      <c r="CN14" s="71">
        <v>245.4999999999998</v>
      </c>
      <c r="CO14" s="71">
        <v>236.49999999999994</v>
      </c>
      <c r="CP14" s="71">
        <v>1032.3000000000002</v>
      </c>
      <c r="CQ14" s="71">
        <v>3749.7000000000025</v>
      </c>
      <c r="CR14" s="71">
        <v>7162.5000000000064</v>
      </c>
      <c r="CS14" s="71">
        <v>9745.6</v>
      </c>
      <c r="CT14" s="79">
        <v>0</v>
      </c>
      <c r="CU14" s="79">
        <v>1.3999999999999986</v>
      </c>
      <c r="CV14" s="79">
        <v>13.399999999999999</v>
      </c>
      <c r="CW14" s="79">
        <v>96.500000000000028</v>
      </c>
      <c r="CX14" s="79">
        <v>808.69999999999993</v>
      </c>
      <c r="CY14" s="79">
        <v>2389.6000000000004</v>
      </c>
      <c r="CZ14" s="79">
        <v>4718.4000000000015</v>
      </c>
      <c r="DA14" s="79">
        <v>4462.2999999999965</v>
      </c>
      <c r="DB14" s="79">
        <v>2457.3000000000015</v>
      </c>
      <c r="DC14" s="79">
        <v>661.10000000000014</v>
      </c>
      <c r="DD14" s="79">
        <v>6.6000000000000014</v>
      </c>
      <c r="DE14" s="79">
        <v>0</v>
      </c>
      <c r="DF14" s="87">
        <v>0</v>
      </c>
      <c r="DG14" s="87">
        <v>0</v>
      </c>
      <c r="DH14" s="87">
        <v>0</v>
      </c>
      <c r="DI14" s="87">
        <v>0</v>
      </c>
      <c r="DJ14" s="87">
        <v>11.600000000000009</v>
      </c>
      <c r="DK14" s="87">
        <v>485.99999999999989</v>
      </c>
      <c r="DL14" s="87">
        <v>1668.4000000000012</v>
      </c>
      <c r="DM14" s="87">
        <v>1506.5000000000011</v>
      </c>
      <c r="DN14" s="87">
        <v>543.49999999999989</v>
      </c>
      <c r="DO14" s="87">
        <v>37.200000000000003</v>
      </c>
      <c r="DP14" s="87">
        <v>0</v>
      </c>
      <c r="DQ14" s="87">
        <v>0</v>
      </c>
      <c r="DR14" s="94">
        <v>15166.999999999998</v>
      </c>
      <c r="DS14" s="94">
        <v>12596.40000000002</v>
      </c>
      <c r="DT14" s="94">
        <v>12161.399999999991</v>
      </c>
      <c r="DU14" s="94">
        <v>10167.6</v>
      </c>
      <c r="DV14" s="94">
        <v>7465.9000000000078</v>
      </c>
      <c r="DW14" s="94">
        <v>4237.0999999999985</v>
      </c>
      <c r="DX14" s="94">
        <v>2403.4999999999982</v>
      </c>
      <c r="DY14" s="94">
        <v>2488.699999999998</v>
      </c>
      <c r="DZ14" s="94">
        <v>4158.4999999999955</v>
      </c>
      <c r="EA14" s="94">
        <v>8333.7999999999884</v>
      </c>
      <c r="EB14" s="94">
        <v>12195.9</v>
      </c>
      <c r="EC14" s="94">
        <v>14953.599999999989</v>
      </c>
      <c r="ED14" s="224" t="s">
        <v>151</v>
      </c>
      <c r="EE14" s="542">
        <v>10.5</v>
      </c>
      <c r="EF14" s="542">
        <v>17.3</v>
      </c>
      <c r="EG14" s="542">
        <v>26.9</v>
      </c>
      <c r="EH14" s="542">
        <v>41.2</v>
      </c>
      <c r="EI14" s="542">
        <v>61.4</v>
      </c>
      <c r="EJ14" s="542">
        <v>73.7</v>
      </c>
      <c r="EK14" s="542">
        <v>73.7</v>
      </c>
      <c r="EL14" s="545">
        <v>7.2</v>
      </c>
      <c r="EM14" s="545">
        <v>11.8</v>
      </c>
      <c r="EN14" s="545">
        <v>18.399999999999999</v>
      </c>
      <c r="EO14" s="545">
        <v>28.2</v>
      </c>
      <c r="EP14" s="545">
        <v>58.3</v>
      </c>
      <c r="EQ14" s="545">
        <v>70</v>
      </c>
      <c r="ER14" s="545">
        <v>70</v>
      </c>
      <c r="ES14" s="533">
        <v>17.8</v>
      </c>
      <c r="ET14" s="533">
        <v>13</v>
      </c>
      <c r="EU14" s="537">
        <v>27.9</v>
      </c>
      <c r="EV14" s="537">
        <v>20.399999999999999</v>
      </c>
      <c r="EW14" s="540">
        <v>6.8</v>
      </c>
      <c r="EX14" s="540">
        <v>4.9000000000000004</v>
      </c>
    </row>
    <row r="15" spans="1:154" hidden="1">
      <c r="A15" s="345" t="s">
        <v>320</v>
      </c>
      <c r="B15" s="96">
        <v>9.4672258064516122</v>
      </c>
      <c r="C15" s="97">
        <v>10.775</v>
      </c>
      <c r="D15" s="97">
        <v>12.948645161290321</v>
      </c>
      <c r="E15" s="97">
        <v>15.075599999999998</v>
      </c>
      <c r="F15" s="97">
        <v>19.081290322580646</v>
      </c>
      <c r="G15" s="97">
        <v>22.998666666666672</v>
      </c>
      <c r="H15" s="97">
        <v>26.712774193548391</v>
      </c>
      <c r="I15" s="97">
        <v>26.582580645161286</v>
      </c>
      <c r="J15" s="97">
        <v>23.594666666666669</v>
      </c>
      <c r="K15" s="97">
        <v>18.342451612903226</v>
      </c>
      <c r="L15" s="97">
        <v>12.800666666666665</v>
      </c>
      <c r="M15" s="100">
        <v>9.6203225806451602</v>
      </c>
      <c r="N15" s="106">
        <v>13.01</v>
      </c>
      <c r="O15" s="106">
        <v>10.33</v>
      </c>
      <c r="P15" s="106">
        <v>9.59</v>
      </c>
      <c r="Q15" s="106">
        <v>10.23</v>
      </c>
      <c r="R15" s="106">
        <v>13.85</v>
      </c>
      <c r="S15" s="106">
        <v>17.91</v>
      </c>
      <c r="T15" s="106">
        <v>21.73</v>
      </c>
      <c r="U15" s="106">
        <v>24.49</v>
      </c>
      <c r="V15" s="106">
        <v>25.3</v>
      </c>
      <c r="W15" s="106">
        <v>24</v>
      </c>
      <c r="X15" s="106">
        <v>20.87</v>
      </c>
      <c r="Y15" s="106">
        <v>16.93</v>
      </c>
      <c r="Z15" s="102">
        <v>2441</v>
      </c>
      <c r="AA15" s="4">
        <v>3208.6785714285716</v>
      </c>
      <c r="AB15" s="4">
        <v>4191.0322580645161</v>
      </c>
      <c r="AC15" s="4">
        <v>5049.7</v>
      </c>
      <c r="AD15" s="4">
        <v>6408.1290322580644</v>
      </c>
      <c r="AE15" s="4">
        <v>7087.9666666666662</v>
      </c>
      <c r="AF15" s="4">
        <v>7545.1290322580644</v>
      </c>
      <c r="AG15" s="4">
        <v>6910</v>
      </c>
      <c r="AH15" s="4">
        <v>5202.2666666666664</v>
      </c>
      <c r="AI15" s="4">
        <v>3736.8709677419356</v>
      </c>
      <c r="AJ15" s="4">
        <v>2798.5</v>
      </c>
      <c r="AK15" s="23">
        <v>2210.483870967742</v>
      </c>
      <c r="AL15" s="29">
        <v>3998.7104363532526</v>
      </c>
      <c r="AM15" s="6">
        <v>3905.3505556166556</v>
      </c>
      <c r="AN15" s="6">
        <v>3528.6835925752548</v>
      </c>
      <c r="AO15" s="6">
        <v>2850.1497377839792</v>
      </c>
      <c r="AP15" s="6">
        <v>2670.0175085129399</v>
      </c>
      <c r="AQ15" s="6">
        <v>2542.3073759483004</v>
      </c>
      <c r="AR15" s="6">
        <v>2749.6494005148602</v>
      </c>
      <c r="AS15" s="6">
        <v>3304.7657078545712</v>
      </c>
      <c r="AT15" s="6">
        <v>3781.2227124067867</v>
      </c>
      <c r="AU15" s="6">
        <v>4131.3639252565526</v>
      </c>
      <c r="AV15" s="6">
        <v>4362.6579249251308</v>
      </c>
      <c r="AW15" s="30">
        <v>3932.4751036233974</v>
      </c>
      <c r="AX15" s="39">
        <v>3163.8164335862625</v>
      </c>
      <c r="AY15" s="8">
        <v>3339.8479669579001</v>
      </c>
      <c r="AZ15" s="8">
        <v>3459.8280311060548</v>
      </c>
      <c r="BA15" s="8">
        <v>3335.7811148905425</v>
      </c>
      <c r="BB15" s="8">
        <v>3584.386467149192</v>
      </c>
      <c r="BC15" s="8">
        <v>3630.4530363525701</v>
      </c>
      <c r="BD15" s="8">
        <v>3978.6427078354268</v>
      </c>
      <c r="BE15" s="8">
        <v>4282.9818595573224</v>
      </c>
      <c r="BF15" s="8">
        <v>4010.0838312086489</v>
      </c>
      <c r="BG15" s="8">
        <v>3661.0609618129479</v>
      </c>
      <c r="BH15" s="8">
        <v>3497.7072559777798</v>
      </c>
      <c r="BI15" s="40">
        <v>3059.6460548734117</v>
      </c>
      <c r="BJ15" s="49">
        <v>1886.4598618697519</v>
      </c>
      <c r="BK15" s="10">
        <v>2346.120390100908</v>
      </c>
      <c r="BL15" s="10">
        <v>2895.7284075693806</v>
      </c>
      <c r="BM15" s="10">
        <v>3305.7319758975832</v>
      </c>
      <c r="BN15" s="10">
        <v>4062.2378312559013</v>
      </c>
      <c r="BO15" s="10">
        <v>4420.8310804737812</v>
      </c>
      <c r="BP15" s="10">
        <v>4759.7583389915635</v>
      </c>
      <c r="BQ15" s="10">
        <v>4519.7004752321527</v>
      </c>
      <c r="BR15" s="10">
        <v>3559.8473662748097</v>
      </c>
      <c r="BS15" s="10">
        <v>2701.2789571805665</v>
      </c>
      <c r="BT15" s="10">
        <v>2151.1860458620827</v>
      </c>
      <c r="BU15" s="50">
        <v>1736.5878582815528</v>
      </c>
      <c r="BV15" s="57">
        <v>683.69070111152405</v>
      </c>
      <c r="BW15" s="12">
        <v>909.33116206506247</v>
      </c>
      <c r="BX15" s="12">
        <v>1202.8120681069781</v>
      </c>
      <c r="BY15" s="12">
        <v>1502.6761258856461</v>
      </c>
      <c r="BZ15" s="12">
        <v>1751.9526404860528</v>
      </c>
      <c r="CA15" s="12">
        <v>1847.9533917775009</v>
      </c>
      <c r="CB15" s="12">
        <v>1786.2229756395579</v>
      </c>
      <c r="CC15" s="12">
        <v>1602.2892178537907</v>
      </c>
      <c r="CD15" s="12">
        <v>1331.3872880927174</v>
      </c>
      <c r="CE15" s="12">
        <v>1004.4328582181134</v>
      </c>
      <c r="CF15" s="12">
        <v>743.68630468301114</v>
      </c>
      <c r="CG15" s="63">
        <v>620.98777283536776</v>
      </c>
      <c r="CH15" s="71">
        <v>7045.8999999999924</v>
      </c>
      <c r="CI15" s="71">
        <v>5518.4999999999936</v>
      </c>
      <c r="CJ15" s="71">
        <v>4612.0000000000064</v>
      </c>
      <c r="CK15" s="71">
        <v>3260.3999999999987</v>
      </c>
      <c r="CL15" s="71">
        <v>1697.0000000000009</v>
      </c>
      <c r="CM15" s="71">
        <v>512.39999999999986</v>
      </c>
      <c r="CN15" s="71">
        <v>119.70000000000005</v>
      </c>
      <c r="CO15" s="71">
        <v>46.200000000000038</v>
      </c>
      <c r="CP15" s="71">
        <v>301.60000000000002</v>
      </c>
      <c r="CQ15" s="71">
        <v>1651.3000000000015</v>
      </c>
      <c r="CR15" s="71">
        <v>4500.6000000000004</v>
      </c>
      <c r="CS15" s="71">
        <v>6927.9999999999991</v>
      </c>
      <c r="CT15" s="79">
        <v>1.3999999999999986</v>
      </c>
      <c r="CU15" s="79">
        <v>50.900000000000006</v>
      </c>
      <c r="CV15" s="79">
        <v>187.69999999999996</v>
      </c>
      <c r="CW15" s="79">
        <v>522.80000000000007</v>
      </c>
      <c r="CX15" s="79">
        <v>1867.6000000000004</v>
      </c>
      <c r="CY15" s="79">
        <v>3503.7000000000012</v>
      </c>
      <c r="CZ15" s="79">
        <v>5991.1999999999971</v>
      </c>
      <c r="DA15" s="79">
        <v>5813.9000000000024</v>
      </c>
      <c r="DB15" s="79">
        <v>3712.3999999999942</v>
      </c>
      <c r="DC15" s="79">
        <v>1246.1000000000006</v>
      </c>
      <c r="DD15" s="79">
        <v>107.69999999999999</v>
      </c>
      <c r="DE15" s="79">
        <v>0.39999999999999858</v>
      </c>
      <c r="DF15" s="87">
        <v>0</v>
      </c>
      <c r="DG15" s="87">
        <v>0</v>
      </c>
      <c r="DH15" s="87">
        <v>0</v>
      </c>
      <c r="DI15" s="87">
        <v>5.2000000000000028</v>
      </c>
      <c r="DJ15" s="87">
        <v>212.60000000000005</v>
      </c>
      <c r="DK15" s="87">
        <v>1026.4999999999993</v>
      </c>
      <c r="DL15" s="87">
        <v>2394.300000000002</v>
      </c>
      <c r="DM15" s="87">
        <v>2234.0999999999976</v>
      </c>
      <c r="DN15" s="87">
        <v>1073.4000000000012</v>
      </c>
      <c r="DO15" s="87">
        <v>64.199999999999989</v>
      </c>
      <c r="DP15" s="87">
        <v>0</v>
      </c>
      <c r="DQ15" s="87">
        <v>0</v>
      </c>
      <c r="DR15" s="94">
        <v>12252.499999999993</v>
      </c>
      <c r="DS15" s="94">
        <v>10171.599999999999</v>
      </c>
      <c r="DT15" s="94">
        <v>9632.2999999999938</v>
      </c>
      <c r="DU15" s="94">
        <v>7782.8</v>
      </c>
      <c r="DV15" s="94">
        <v>5249.9999999999945</v>
      </c>
      <c r="DW15" s="94">
        <v>3075.2000000000003</v>
      </c>
      <c r="DX15" s="94">
        <v>1730.8000000000006</v>
      </c>
      <c r="DY15" s="94">
        <v>1674.399999999999</v>
      </c>
      <c r="DZ15" s="94">
        <v>2702.5999999999967</v>
      </c>
      <c r="EA15" s="94">
        <v>5677.3999999999951</v>
      </c>
      <c r="EB15" s="94">
        <v>9432.899999999996</v>
      </c>
      <c r="EC15" s="94">
        <v>12135.600000000013</v>
      </c>
      <c r="ED15" s="224" t="s">
        <v>152</v>
      </c>
      <c r="EE15" s="542">
        <v>7.5</v>
      </c>
      <c r="EF15" s="542">
        <v>13.2</v>
      </c>
      <c r="EG15" s="542">
        <v>21.3</v>
      </c>
      <c r="EH15" s="542">
        <v>33.6</v>
      </c>
      <c r="EI15" s="542">
        <v>61.7</v>
      </c>
      <c r="EJ15" s="542">
        <v>75.900000000000006</v>
      </c>
      <c r="EK15" s="542">
        <v>75.900000000000006</v>
      </c>
      <c r="EL15" s="545">
        <v>4.9000000000000004</v>
      </c>
      <c r="EM15" s="545">
        <v>8.6</v>
      </c>
      <c r="EN15" s="545">
        <v>14</v>
      </c>
      <c r="EO15" s="545">
        <v>22</v>
      </c>
      <c r="EP15" s="545">
        <v>46.4</v>
      </c>
      <c r="EQ15" s="545">
        <v>50.6</v>
      </c>
      <c r="ER15" s="545">
        <v>50.6</v>
      </c>
      <c r="ES15" s="533">
        <v>16.899999999999999</v>
      </c>
      <c r="ET15" s="533">
        <v>12.4</v>
      </c>
      <c r="EU15" s="537">
        <v>26.5</v>
      </c>
      <c r="EV15" s="537">
        <v>19.5</v>
      </c>
      <c r="EW15" s="540">
        <v>6.4</v>
      </c>
      <c r="EX15" s="540">
        <v>4.7</v>
      </c>
    </row>
    <row r="16" spans="1:154" hidden="1">
      <c r="A16" s="345" t="s">
        <v>321</v>
      </c>
      <c r="B16" s="96">
        <v>4.1714838709677409</v>
      </c>
      <c r="C16" s="97">
        <v>5.1151428571428577</v>
      </c>
      <c r="D16" s="97">
        <v>7.3010322580645148</v>
      </c>
      <c r="E16" s="97">
        <v>9.5284000000000013</v>
      </c>
      <c r="F16" s="97">
        <v>13.482967741935486</v>
      </c>
      <c r="G16" s="97">
        <v>18.095199999999998</v>
      </c>
      <c r="H16" s="97">
        <v>22.22812903225806</v>
      </c>
      <c r="I16" s="97">
        <v>21.936903225806446</v>
      </c>
      <c r="J16" s="97">
        <v>18.464933333333338</v>
      </c>
      <c r="K16" s="97">
        <v>12.833419354838711</v>
      </c>
      <c r="L16" s="97">
        <v>7.5686666666666662</v>
      </c>
      <c r="M16" s="100">
        <v>4.6932419354838713</v>
      </c>
      <c r="N16" s="106">
        <v>4.78</v>
      </c>
      <c r="O16" s="106">
        <v>4.04</v>
      </c>
      <c r="P16" s="106">
        <v>5.35</v>
      </c>
      <c r="Q16" s="106">
        <v>7.38</v>
      </c>
      <c r="R16" s="106">
        <v>12.71</v>
      </c>
      <c r="S16" s="106">
        <v>16.82</v>
      </c>
      <c r="T16" s="106">
        <v>19.59</v>
      </c>
      <c r="U16" s="106">
        <v>20.43</v>
      </c>
      <c r="V16" s="106">
        <v>19</v>
      </c>
      <c r="W16" s="106">
        <v>15.81</v>
      </c>
      <c r="X16" s="106">
        <v>11.54</v>
      </c>
      <c r="Y16" s="106">
        <v>7.58</v>
      </c>
      <c r="Z16" s="102">
        <v>1939.3870967741937</v>
      </c>
      <c r="AA16" s="4">
        <v>2680.6071428571427</v>
      </c>
      <c r="AB16" s="4">
        <v>3777.1935483870966</v>
      </c>
      <c r="AC16" s="4">
        <v>4672.6333333333332</v>
      </c>
      <c r="AD16" s="4">
        <v>5803.8709677419356</v>
      </c>
      <c r="AE16" s="4">
        <v>6600.8</v>
      </c>
      <c r="AF16" s="4">
        <v>7261.7096774193551</v>
      </c>
      <c r="AG16" s="4">
        <v>6471.2258064516127</v>
      </c>
      <c r="AH16" s="4">
        <v>4828.8999999999996</v>
      </c>
      <c r="AI16" s="4">
        <v>3341.7741935483873</v>
      </c>
      <c r="AJ16" s="4">
        <v>2209.1333333333332</v>
      </c>
      <c r="AK16" s="23">
        <v>1700.741935483871</v>
      </c>
      <c r="AL16" s="29">
        <v>3213.7215452632827</v>
      </c>
      <c r="AM16" s="6">
        <v>3317.6937939284758</v>
      </c>
      <c r="AN16" s="6">
        <v>3296.6415706751345</v>
      </c>
      <c r="AO16" s="6">
        <v>2765.6750424842635</v>
      </c>
      <c r="AP16" s="6">
        <v>2612.8507046846939</v>
      </c>
      <c r="AQ16" s="6">
        <v>2580.3421097718888</v>
      </c>
      <c r="AR16" s="6">
        <v>2854.6811103989021</v>
      </c>
      <c r="AS16" s="6">
        <v>3306.4294552386382</v>
      </c>
      <c r="AT16" s="6">
        <v>3677.0549957781577</v>
      </c>
      <c r="AU16" s="6">
        <v>3840.8392375169151</v>
      </c>
      <c r="AV16" s="6">
        <v>3458.4070162021958</v>
      </c>
      <c r="AW16" s="30">
        <v>3036.5798554029307</v>
      </c>
      <c r="AX16" s="39">
        <v>2541.6628028963896</v>
      </c>
      <c r="AY16" s="8">
        <v>2826.2357982941594</v>
      </c>
      <c r="AZ16" s="8">
        <v>3193.0082783028065</v>
      </c>
      <c r="BA16" s="8">
        <v>3161.2590793761465</v>
      </c>
      <c r="BB16" s="8">
        <v>3345.0257421475931</v>
      </c>
      <c r="BC16" s="8">
        <v>3496.7279646645447</v>
      </c>
      <c r="BD16" s="8">
        <v>3953.0405802222026</v>
      </c>
      <c r="BE16" s="8">
        <v>4134.5442063923247</v>
      </c>
      <c r="BF16" s="8">
        <v>3832.349753578862</v>
      </c>
      <c r="BG16" s="8">
        <v>3373.8210450506867</v>
      </c>
      <c r="BH16" s="8">
        <v>2773.159009349878</v>
      </c>
      <c r="BI16" s="40">
        <v>2365.7977913481313</v>
      </c>
      <c r="BJ16" s="49">
        <v>1512.2533530936084</v>
      </c>
      <c r="BK16" s="10">
        <v>1977.7918250155387</v>
      </c>
      <c r="BL16" s="10">
        <v>2641.6292305901293</v>
      </c>
      <c r="BM16" s="10">
        <v>3088.5516820607399</v>
      </c>
      <c r="BN16" s="10">
        <v>3706.1163434012915</v>
      </c>
      <c r="BO16" s="10">
        <v>4151.2717543899535</v>
      </c>
      <c r="BP16" s="10">
        <v>4630.1282827268624</v>
      </c>
      <c r="BQ16" s="10">
        <v>4281.4704902348276</v>
      </c>
      <c r="BR16" s="10">
        <v>3351.595976963139</v>
      </c>
      <c r="BS16" s="10">
        <v>2455.6067502454298</v>
      </c>
      <c r="BT16" s="10">
        <v>1708.736361616878</v>
      </c>
      <c r="BU16" s="50">
        <v>1344.4839711064396</v>
      </c>
      <c r="BV16" s="57">
        <v>601.80361183780315</v>
      </c>
      <c r="BW16" s="12">
        <v>829.51375615093696</v>
      </c>
      <c r="BX16" s="12">
        <v>1142.3334644507372</v>
      </c>
      <c r="BY16" s="12">
        <v>1457.6186734903406</v>
      </c>
      <c r="BZ16" s="12">
        <v>1725.5447313687412</v>
      </c>
      <c r="CA16" s="12">
        <v>1848.3310478997496</v>
      </c>
      <c r="CB16" s="12">
        <v>1797.2523052121537</v>
      </c>
      <c r="CC16" s="12">
        <v>1598.4855344993989</v>
      </c>
      <c r="CD16" s="12">
        <v>1292.1615571135926</v>
      </c>
      <c r="CE16" s="12">
        <v>944.46798496565896</v>
      </c>
      <c r="CF16" s="12">
        <v>663.39546124692117</v>
      </c>
      <c r="CG16" s="63">
        <v>536.49829747707122</v>
      </c>
      <c r="CH16" s="71">
        <v>10980.599999999999</v>
      </c>
      <c r="CI16" s="71">
        <v>9282.2000000000062</v>
      </c>
      <c r="CJ16" s="71">
        <v>8630.5000000000073</v>
      </c>
      <c r="CK16" s="71">
        <v>6751.2</v>
      </c>
      <c r="CL16" s="71">
        <v>4411.2000000000016</v>
      </c>
      <c r="CM16" s="71">
        <v>1936.4999999999993</v>
      </c>
      <c r="CN16" s="71">
        <v>668.89999999999975</v>
      </c>
      <c r="CO16" s="71">
        <v>648.10000000000048</v>
      </c>
      <c r="CP16" s="71">
        <v>1796.3000000000013</v>
      </c>
      <c r="CQ16" s="71">
        <v>4718.3999999999942</v>
      </c>
      <c r="CR16" s="71">
        <v>8180.0000000000018</v>
      </c>
      <c r="CS16" s="71">
        <v>10595.200000000004</v>
      </c>
      <c r="CT16" s="79">
        <v>0</v>
      </c>
      <c r="CU16" s="79">
        <v>0</v>
      </c>
      <c r="CV16" s="79">
        <v>0</v>
      </c>
      <c r="CW16" s="79">
        <v>12.399999999999999</v>
      </c>
      <c r="CX16" s="79">
        <v>399.49999999999994</v>
      </c>
      <c r="CY16" s="79">
        <v>1388.9999999999993</v>
      </c>
      <c r="CZ16" s="79">
        <v>3191.3999999999978</v>
      </c>
      <c r="DA16" s="79">
        <v>2946.6999999999994</v>
      </c>
      <c r="DB16" s="79">
        <v>1508.5000000000011</v>
      </c>
      <c r="DC16" s="79">
        <v>210.49999999999997</v>
      </c>
      <c r="DD16" s="79">
        <v>6.1000000000000014</v>
      </c>
      <c r="DE16" s="79">
        <v>0</v>
      </c>
      <c r="DF16" s="87">
        <v>0</v>
      </c>
      <c r="DG16" s="87">
        <v>0</v>
      </c>
      <c r="DH16" s="87">
        <v>0</v>
      </c>
      <c r="DI16" s="87">
        <v>0</v>
      </c>
      <c r="DJ16" s="87">
        <v>8.4000000000000021</v>
      </c>
      <c r="DK16" s="87">
        <v>82.500000000000028</v>
      </c>
      <c r="DL16" s="87">
        <v>810.50000000000057</v>
      </c>
      <c r="DM16" s="87">
        <v>696.9</v>
      </c>
      <c r="DN16" s="87">
        <v>220.50000000000003</v>
      </c>
      <c r="DO16" s="87">
        <v>0</v>
      </c>
      <c r="DP16" s="87">
        <v>0</v>
      </c>
      <c r="DQ16" s="87">
        <v>0</v>
      </c>
      <c r="DR16" s="94">
        <v>16188.600000000009</v>
      </c>
      <c r="DS16" s="94">
        <v>13986.199999999999</v>
      </c>
      <c r="DT16" s="94">
        <v>13838.5</v>
      </c>
      <c r="DU16" s="94">
        <v>11778.800000000001</v>
      </c>
      <c r="DV16" s="94">
        <v>9228.0999999999949</v>
      </c>
      <c r="DW16" s="94">
        <v>5670.0000000000018</v>
      </c>
      <c r="DX16" s="94">
        <v>3496.0000000000027</v>
      </c>
      <c r="DY16" s="94">
        <v>3606.299999999997</v>
      </c>
      <c r="DZ16" s="94">
        <v>5548.2999999999975</v>
      </c>
      <c r="EA16" s="94">
        <v>9715.9000000000142</v>
      </c>
      <c r="EB16" s="94">
        <v>13213.899999999994</v>
      </c>
      <c r="EC16" s="94">
        <v>15803.200000000012</v>
      </c>
      <c r="ED16" s="224" t="s">
        <v>304</v>
      </c>
      <c r="EE16" s="542">
        <v>12.5</v>
      </c>
      <c r="EF16" s="542">
        <v>20.5</v>
      </c>
      <c r="EG16" s="542">
        <v>31.9</v>
      </c>
      <c r="EH16" s="542">
        <v>49</v>
      </c>
      <c r="EI16" s="542">
        <v>70.5</v>
      </c>
      <c r="EJ16" s="542">
        <v>92.4</v>
      </c>
      <c r="EK16" s="542">
        <v>92.4</v>
      </c>
      <c r="EL16" s="545">
        <v>8.6</v>
      </c>
      <c r="EM16" s="545">
        <v>14.1</v>
      </c>
      <c r="EN16" s="545">
        <v>21.9</v>
      </c>
      <c r="EO16" s="545">
        <v>33.6</v>
      </c>
      <c r="EP16" s="545">
        <v>64.3</v>
      </c>
      <c r="EQ16" s="545">
        <v>75.2</v>
      </c>
      <c r="ER16" s="545">
        <v>75.2</v>
      </c>
      <c r="ES16" s="533">
        <v>18.2</v>
      </c>
      <c r="ET16" s="533">
        <v>13.3</v>
      </c>
      <c r="EU16" s="537">
        <v>28.6</v>
      </c>
      <c r="EV16" s="537">
        <v>20.9</v>
      </c>
      <c r="EW16" s="540">
        <v>6.9</v>
      </c>
      <c r="EX16" s="540">
        <v>5.0999999999999996</v>
      </c>
    </row>
    <row r="17" spans="1:154" hidden="1">
      <c r="A17" s="345" t="s">
        <v>310</v>
      </c>
      <c r="B17" s="96">
        <v>6.6949677419354847</v>
      </c>
      <c r="C17" s="97">
        <v>7.7641428571428586</v>
      </c>
      <c r="D17" s="97">
        <v>9.6494193548387113</v>
      </c>
      <c r="E17" s="97">
        <v>11.497066666666667</v>
      </c>
      <c r="F17" s="97">
        <v>15.238064516129036</v>
      </c>
      <c r="G17" s="97">
        <v>19.321999999999999</v>
      </c>
      <c r="H17" s="97">
        <v>22.634064516129033</v>
      </c>
      <c r="I17" s="97">
        <v>22.281161290322576</v>
      </c>
      <c r="J17" s="97">
        <v>19.818666666666665</v>
      </c>
      <c r="K17" s="97">
        <v>15.13264516129032</v>
      </c>
      <c r="L17" s="97">
        <v>10.167866666666667</v>
      </c>
      <c r="M17" s="100">
        <v>7.6164892473118275</v>
      </c>
      <c r="N17" s="106">
        <v>7.52</v>
      </c>
      <c r="O17" s="106">
        <v>6.87</v>
      </c>
      <c r="P17" s="106">
        <v>8.02</v>
      </c>
      <c r="Q17" s="106">
        <v>9.81</v>
      </c>
      <c r="R17" s="106">
        <v>14.51</v>
      </c>
      <c r="S17" s="106">
        <v>18.13</v>
      </c>
      <c r="T17" s="106">
        <v>20.57</v>
      </c>
      <c r="U17" s="106">
        <v>21.32</v>
      </c>
      <c r="V17" s="106">
        <v>20.05</v>
      </c>
      <c r="W17" s="106">
        <v>17.239999999999998</v>
      </c>
      <c r="X17" s="106">
        <v>13.48</v>
      </c>
      <c r="Y17" s="106">
        <v>9.99</v>
      </c>
      <c r="Z17" s="102">
        <v>1987.1290322580646</v>
      </c>
      <c r="AA17" s="4">
        <v>2619.6428571428573</v>
      </c>
      <c r="AB17" s="4">
        <v>3515.0967741935483</v>
      </c>
      <c r="AC17" s="4">
        <v>4492.6333333333332</v>
      </c>
      <c r="AD17" s="4">
        <v>5203.4838709677415</v>
      </c>
      <c r="AE17" s="4">
        <v>5732.7333333333336</v>
      </c>
      <c r="AF17" s="4">
        <v>6276.1935483870966</v>
      </c>
      <c r="AG17" s="4">
        <v>5472.677419354839</v>
      </c>
      <c r="AH17" s="4">
        <v>4154.3666666666668</v>
      </c>
      <c r="AI17" s="4">
        <v>3029.0967741935483</v>
      </c>
      <c r="AJ17" s="4">
        <v>2163.5333333333333</v>
      </c>
      <c r="AK17" s="23">
        <v>1737.7096774193549</v>
      </c>
      <c r="AL17" s="29">
        <v>3689.6943853077819</v>
      </c>
      <c r="AM17" s="6">
        <v>3455.2178575940679</v>
      </c>
      <c r="AN17" s="6">
        <v>3167.158038180286</v>
      </c>
      <c r="AO17" s="6">
        <v>2756.2053914924918</v>
      </c>
      <c r="AP17" s="6">
        <v>2488.2031457475946</v>
      </c>
      <c r="AQ17" s="6">
        <v>2452.3427467701249</v>
      </c>
      <c r="AR17" s="6">
        <v>2708.8527653168758</v>
      </c>
      <c r="AS17" s="6">
        <v>2964.8246275779156</v>
      </c>
      <c r="AT17" s="6">
        <v>3230.4336785128362</v>
      </c>
      <c r="AU17" s="6">
        <v>3589.9513276266453</v>
      </c>
      <c r="AV17" s="6">
        <v>3686.0076159978898</v>
      </c>
      <c r="AW17" s="30">
        <v>3510.4674222278963</v>
      </c>
      <c r="AX17" s="39">
        <v>2874.2242925918476</v>
      </c>
      <c r="AY17" s="8">
        <v>2911.4059778521364</v>
      </c>
      <c r="AZ17" s="8">
        <v>3039.3761710048097</v>
      </c>
      <c r="BA17" s="8">
        <v>3104.7097081703923</v>
      </c>
      <c r="BB17" s="8">
        <v>3066.4963726230562</v>
      </c>
      <c r="BC17" s="8">
        <v>3135.4331949868065</v>
      </c>
      <c r="BD17" s="8">
        <v>3525.1286915418859</v>
      </c>
      <c r="BE17" s="8">
        <v>3555.8123572076152</v>
      </c>
      <c r="BF17" s="8">
        <v>3319.9695521198919</v>
      </c>
      <c r="BG17" s="8">
        <v>3132.7205896044284</v>
      </c>
      <c r="BH17" s="8">
        <v>2920.8631765591927</v>
      </c>
      <c r="BI17" s="40">
        <v>2693.6909090108165</v>
      </c>
      <c r="BJ17" s="49">
        <v>1623.2480795018594</v>
      </c>
      <c r="BK17" s="10">
        <v>1984.1265814062758</v>
      </c>
      <c r="BL17" s="10">
        <v>2487.9206225510638</v>
      </c>
      <c r="BM17" s="10">
        <v>2999.7760817322383</v>
      </c>
      <c r="BN17" s="10">
        <v>3336.8793549561224</v>
      </c>
      <c r="BO17" s="10">
        <v>3617.5767675253492</v>
      </c>
      <c r="BP17" s="10">
        <v>4015.6369226876041</v>
      </c>
      <c r="BQ17" s="10">
        <v>3625.4742666675579</v>
      </c>
      <c r="BR17" s="10">
        <v>2891.701190768063</v>
      </c>
      <c r="BS17" s="10">
        <v>2256.2586741122368</v>
      </c>
      <c r="BT17" s="10">
        <v>1733.7064999547633</v>
      </c>
      <c r="BU17" s="50">
        <v>1444.7346975767089</v>
      </c>
      <c r="BV17" s="57">
        <v>572.45024850442439</v>
      </c>
      <c r="BW17" s="12">
        <v>792.84889692168531</v>
      </c>
      <c r="BX17" s="12">
        <v>1094.3368138749345</v>
      </c>
      <c r="BY17" s="12">
        <v>1427.5571542572275</v>
      </c>
      <c r="BZ17" s="12">
        <v>1678.6494514378924</v>
      </c>
      <c r="CA17" s="12">
        <v>1807.0301616146933</v>
      </c>
      <c r="CB17" s="12">
        <v>1790.8589428344922</v>
      </c>
      <c r="CC17" s="12">
        <v>1571.3785326851093</v>
      </c>
      <c r="CD17" s="12">
        <v>1235.7162159243205</v>
      </c>
      <c r="CE17" s="12">
        <v>891.70100292103155</v>
      </c>
      <c r="CF17" s="12">
        <v>625.53569591680719</v>
      </c>
      <c r="CG17" s="63">
        <v>507.84228246220835</v>
      </c>
      <c r="CH17" s="71">
        <v>9097.399999999996</v>
      </c>
      <c r="CI17" s="71">
        <v>7489.8999999999987</v>
      </c>
      <c r="CJ17" s="71">
        <v>6884.9000000000015</v>
      </c>
      <c r="CK17" s="71">
        <v>5339.699999999998</v>
      </c>
      <c r="CL17" s="71">
        <v>3162.3000000000025</v>
      </c>
      <c r="CM17" s="71">
        <v>1187.0999999999995</v>
      </c>
      <c r="CN17" s="71">
        <v>343.69999999999993</v>
      </c>
      <c r="CO17" s="71">
        <v>258.09999999999985</v>
      </c>
      <c r="CP17" s="71">
        <v>848.59999999999911</v>
      </c>
      <c r="CQ17" s="71">
        <v>3191.0000000000009</v>
      </c>
      <c r="CR17" s="71">
        <v>6304.50000000001</v>
      </c>
      <c r="CS17" s="71">
        <v>8411.7999999999902</v>
      </c>
      <c r="CT17" s="79">
        <v>0</v>
      </c>
      <c r="CU17" s="79">
        <v>0</v>
      </c>
      <c r="CV17" s="79">
        <v>2.5999999999999943</v>
      </c>
      <c r="CW17" s="79">
        <v>13.699999999999989</v>
      </c>
      <c r="CX17" s="79">
        <v>447.29999999999978</v>
      </c>
      <c r="CY17" s="79">
        <v>1504.6999999999996</v>
      </c>
      <c r="CZ17" s="79">
        <v>3143.8999999999992</v>
      </c>
      <c r="DA17" s="79">
        <v>2788.9999999999995</v>
      </c>
      <c r="DB17" s="79">
        <v>1520.7999999999993</v>
      </c>
      <c r="DC17" s="79">
        <v>390.8</v>
      </c>
      <c r="DD17" s="79">
        <v>6.3999999999999986</v>
      </c>
      <c r="DE17" s="79">
        <v>0</v>
      </c>
      <c r="DF17" s="87">
        <v>0</v>
      </c>
      <c r="DG17" s="87">
        <v>0</v>
      </c>
      <c r="DH17" s="87">
        <v>0</v>
      </c>
      <c r="DI17" s="87">
        <v>0</v>
      </c>
      <c r="DJ17" s="87">
        <v>1.6000000000000014</v>
      </c>
      <c r="DK17" s="87">
        <v>181.60000000000005</v>
      </c>
      <c r="DL17" s="87">
        <v>601.80000000000018</v>
      </c>
      <c r="DM17" s="87">
        <v>411.19999999999993</v>
      </c>
      <c r="DN17" s="87">
        <v>74.599999999999994</v>
      </c>
      <c r="DO17" s="87">
        <v>0</v>
      </c>
      <c r="DP17" s="87">
        <v>0</v>
      </c>
      <c r="DQ17" s="87">
        <v>0</v>
      </c>
      <c r="DR17" s="94">
        <v>14305.400000000011</v>
      </c>
      <c r="DS17" s="94">
        <v>12193.899999999992</v>
      </c>
      <c r="DT17" s="94">
        <v>12090.300000000003</v>
      </c>
      <c r="DU17" s="94">
        <v>10366.000000000009</v>
      </c>
      <c r="DV17" s="94">
        <v>7924.6000000000095</v>
      </c>
      <c r="DW17" s="94">
        <v>4904.0000000000055</v>
      </c>
      <c r="DX17" s="94">
        <v>3009.5999999999981</v>
      </c>
      <c r="DY17" s="94">
        <v>3088.2999999999993</v>
      </c>
      <c r="DZ17" s="94">
        <v>4442.4000000000024</v>
      </c>
      <c r="EA17" s="94">
        <v>8008.2000000000053</v>
      </c>
      <c r="EB17" s="94">
        <v>11338.099999999993</v>
      </c>
      <c r="EC17" s="94">
        <v>13619.800000000001</v>
      </c>
      <c r="ED17" s="224" t="s">
        <v>153</v>
      </c>
      <c r="EE17" s="542">
        <v>9.6</v>
      </c>
      <c r="EF17" s="542">
        <v>15.8</v>
      </c>
      <c r="EG17" s="542">
        <v>24.5</v>
      </c>
      <c r="EH17" s="542">
        <v>37.700000000000003</v>
      </c>
      <c r="EI17" s="542">
        <v>55.6</v>
      </c>
      <c r="EJ17" s="542">
        <v>72.8</v>
      </c>
      <c r="EK17" s="542">
        <v>72.8</v>
      </c>
      <c r="EL17" s="545">
        <v>6.5</v>
      </c>
      <c r="EM17" s="545">
        <v>10.6</v>
      </c>
      <c r="EN17" s="545">
        <v>16.5</v>
      </c>
      <c r="EO17" s="545">
        <v>25.3</v>
      </c>
      <c r="EP17" s="545">
        <v>44.7</v>
      </c>
      <c r="EQ17" s="545">
        <v>52.3</v>
      </c>
      <c r="ER17" s="545">
        <v>52.3</v>
      </c>
      <c r="ES17" s="533">
        <v>17.7</v>
      </c>
      <c r="ET17" s="533">
        <v>13</v>
      </c>
      <c r="EU17" s="537">
        <v>27.8</v>
      </c>
      <c r="EV17" s="537">
        <v>20.399999999999999</v>
      </c>
      <c r="EW17" s="540">
        <v>6.7</v>
      </c>
      <c r="EX17" s="540">
        <v>4.9000000000000004</v>
      </c>
    </row>
    <row r="18" spans="1:154" hidden="1">
      <c r="A18" s="345" t="s">
        <v>322</v>
      </c>
      <c r="B18" s="96">
        <v>6.4392258064516135</v>
      </c>
      <c r="C18" s="97">
        <v>8.2887142857142866</v>
      </c>
      <c r="D18" s="97">
        <v>10.382580645161289</v>
      </c>
      <c r="E18" s="97">
        <v>12.308933333333334</v>
      </c>
      <c r="F18" s="97">
        <v>16.137290322580643</v>
      </c>
      <c r="G18" s="97">
        <v>20.934133333333328</v>
      </c>
      <c r="H18" s="97">
        <v>24.14296774193549</v>
      </c>
      <c r="I18" s="97">
        <v>23.914838709677412</v>
      </c>
      <c r="J18" s="97">
        <v>20.893866666666664</v>
      </c>
      <c r="K18" s="97">
        <v>15.251612903225807</v>
      </c>
      <c r="L18" s="97">
        <v>10.487066666666665</v>
      </c>
      <c r="M18" s="100">
        <v>7.3055483870967723</v>
      </c>
      <c r="N18" s="106">
        <v>7.53</v>
      </c>
      <c r="O18" s="106">
        <v>6.81</v>
      </c>
      <c r="P18" s="106">
        <v>8.09</v>
      </c>
      <c r="Q18" s="106">
        <v>10.09</v>
      </c>
      <c r="R18" s="106">
        <v>15.31</v>
      </c>
      <c r="S18" s="106">
        <v>19.34</v>
      </c>
      <c r="T18" s="106">
        <v>22.06</v>
      </c>
      <c r="U18" s="106">
        <v>22.89</v>
      </c>
      <c r="V18" s="106">
        <v>21.48</v>
      </c>
      <c r="W18" s="106">
        <v>18.350000000000001</v>
      </c>
      <c r="X18" s="106">
        <v>14.16</v>
      </c>
      <c r="Y18" s="106">
        <v>10.28</v>
      </c>
      <c r="Z18" s="102">
        <v>2495.1935483870966</v>
      </c>
      <c r="AA18" s="4">
        <v>3245.2857142857142</v>
      </c>
      <c r="AB18" s="4">
        <v>4411.2580645161288</v>
      </c>
      <c r="AC18" s="4">
        <v>5316.3666666666668</v>
      </c>
      <c r="AD18" s="4">
        <v>6653.8387096774195</v>
      </c>
      <c r="AE18" s="4">
        <v>7405.0333333333338</v>
      </c>
      <c r="AF18" s="4">
        <v>7708.9677419354839</v>
      </c>
      <c r="AG18" s="4">
        <v>6958.7419354838712</v>
      </c>
      <c r="AH18" s="4">
        <v>5304.7</v>
      </c>
      <c r="AI18" s="4">
        <v>3863.3548387096776</v>
      </c>
      <c r="AJ18" s="4">
        <v>2744.0666666666666</v>
      </c>
      <c r="AK18" s="23">
        <v>2208.2903225806454</v>
      </c>
      <c r="AL18" s="29">
        <v>3997.2442287866556</v>
      </c>
      <c r="AM18" s="6">
        <v>3873.4923308250973</v>
      </c>
      <c r="AN18" s="6">
        <v>3689.9931666107705</v>
      </c>
      <c r="AO18" s="6">
        <v>2951.1872996143502</v>
      </c>
      <c r="AP18" s="6">
        <v>2694.5040464781023</v>
      </c>
      <c r="AQ18" s="6">
        <v>2550.1377036685494</v>
      </c>
      <c r="AR18" s="6">
        <v>2728.4354767649074</v>
      </c>
      <c r="AS18" s="6">
        <v>3267.6015275353047</v>
      </c>
      <c r="AT18" s="6">
        <v>3800.8896879882359</v>
      </c>
      <c r="AU18" s="6">
        <v>4224.9437163867678</v>
      </c>
      <c r="AV18" s="6">
        <v>4117.8586246593659</v>
      </c>
      <c r="AW18" s="30">
        <v>3792.1936671130188</v>
      </c>
      <c r="AX18" s="39">
        <v>3172.3222979583306</v>
      </c>
      <c r="AY18" s="8">
        <v>3324.6681720339593</v>
      </c>
      <c r="AZ18" s="8">
        <v>3631.4257911368682</v>
      </c>
      <c r="BA18" s="8">
        <v>3493.3231561718599</v>
      </c>
      <c r="BB18" s="8">
        <v>3684.7094993600895</v>
      </c>
      <c r="BC18" s="8">
        <v>3740.9267896516903</v>
      </c>
      <c r="BD18" s="8">
        <v>4021.4003117050215</v>
      </c>
      <c r="BE18" s="8">
        <v>4272.9336855334332</v>
      </c>
      <c r="BF18" s="8">
        <v>4053.037423622196</v>
      </c>
      <c r="BG18" s="8">
        <v>3753.8209726011173</v>
      </c>
      <c r="BH18" s="8">
        <v>3320.5401249054212</v>
      </c>
      <c r="BI18" s="40">
        <v>2964.2809203942043</v>
      </c>
      <c r="BJ18" s="49">
        <v>1910.4659048064455</v>
      </c>
      <c r="BK18" s="10">
        <v>2354.6108290531452</v>
      </c>
      <c r="BL18" s="10">
        <v>3043.4891951891245</v>
      </c>
      <c r="BM18" s="10">
        <v>3476.9767032722116</v>
      </c>
      <c r="BN18" s="10">
        <v>4210.3068586862437</v>
      </c>
      <c r="BO18" s="10">
        <v>4610.4315728896718</v>
      </c>
      <c r="BP18" s="10">
        <v>4850.3785340615996</v>
      </c>
      <c r="BQ18" s="10">
        <v>4533.5809257074989</v>
      </c>
      <c r="BR18" s="10">
        <v>3614.8608130071952</v>
      </c>
      <c r="BS18" s="10">
        <v>2780.2674879683582</v>
      </c>
      <c r="BT18" s="10">
        <v>2078.2859722450698</v>
      </c>
      <c r="BU18" s="50">
        <v>1710.7515102019859</v>
      </c>
      <c r="BV18" s="57">
        <v>700.33553657616062</v>
      </c>
      <c r="BW18" s="12">
        <v>923.87194762329943</v>
      </c>
      <c r="BX18" s="12">
        <v>1223.5408327099262</v>
      </c>
      <c r="BY18" s="12">
        <v>1522.7282831456964</v>
      </c>
      <c r="BZ18" s="12">
        <v>1756.1867000859993</v>
      </c>
      <c r="CA18" s="12">
        <v>1842.1090289138212</v>
      </c>
      <c r="CB18" s="12">
        <v>1777.6166583435272</v>
      </c>
      <c r="CC18" s="12">
        <v>1605.0619763158102</v>
      </c>
      <c r="CD18" s="12">
        <v>1341.6259216224664</v>
      </c>
      <c r="CE18" s="12">
        <v>1021.1227304036714</v>
      </c>
      <c r="CF18" s="12">
        <v>755.69094824687761</v>
      </c>
      <c r="CG18" s="63">
        <v>634.07165885562233</v>
      </c>
      <c r="CH18" s="71">
        <v>9279.5999999999985</v>
      </c>
      <c r="CI18" s="71">
        <v>7140.7999999999938</v>
      </c>
      <c r="CJ18" s="71">
        <v>6396.9</v>
      </c>
      <c r="CK18" s="71">
        <v>4913.8000000000047</v>
      </c>
      <c r="CL18" s="71">
        <v>3018.1000000000008</v>
      </c>
      <c r="CM18" s="71">
        <v>1176.1000000000001</v>
      </c>
      <c r="CN18" s="71">
        <v>484.30000000000007</v>
      </c>
      <c r="CO18" s="71">
        <v>426.99999999999989</v>
      </c>
      <c r="CP18" s="71">
        <v>1107.0000000000002</v>
      </c>
      <c r="CQ18" s="71">
        <v>3423.3000000000006</v>
      </c>
      <c r="CR18" s="71">
        <v>6142.1999999999953</v>
      </c>
      <c r="CS18" s="71">
        <v>8639.7999999999993</v>
      </c>
      <c r="CT18" s="79">
        <v>0</v>
      </c>
      <c r="CU18" s="79">
        <v>11.299999999999997</v>
      </c>
      <c r="CV18" s="79">
        <v>73.5</v>
      </c>
      <c r="CW18" s="79">
        <v>189.1</v>
      </c>
      <c r="CX18" s="79">
        <v>999.20000000000027</v>
      </c>
      <c r="CY18" s="79">
        <v>2690.8999999999996</v>
      </c>
      <c r="CZ18" s="79">
        <v>4445.8999999999996</v>
      </c>
      <c r="DA18" s="79">
        <v>4221.0999999999995</v>
      </c>
      <c r="DB18" s="79">
        <v>2583.9999999999991</v>
      </c>
      <c r="DC18" s="79">
        <v>733.40000000000032</v>
      </c>
      <c r="DD18" s="79">
        <v>85.1</v>
      </c>
      <c r="DE18" s="79">
        <v>0</v>
      </c>
      <c r="DF18" s="87">
        <v>0</v>
      </c>
      <c r="DG18" s="87">
        <v>0</v>
      </c>
      <c r="DH18" s="87">
        <v>0</v>
      </c>
      <c r="DI18" s="87">
        <v>0</v>
      </c>
      <c r="DJ18" s="87">
        <v>19.000000000000011</v>
      </c>
      <c r="DK18" s="87">
        <v>664.40000000000032</v>
      </c>
      <c r="DL18" s="87">
        <v>1626.9999999999993</v>
      </c>
      <c r="DM18" s="87">
        <v>1514.5999999999995</v>
      </c>
      <c r="DN18" s="87">
        <v>688.70000000000118</v>
      </c>
      <c r="DO18" s="87">
        <v>50.79999999999999</v>
      </c>
      <c r="DP18" s="87">
        <v>0</v>
      </c>
      <c r="DQ18" s="87">
        <v>0</v>
      </c>
      <c r="DR18" s="94">
        <v>14487.6</v>
      </c>
      <c r="DS18" s="94">
        <v>11833.500000000016</v>
      </c>
      <c r="DT18" s="94">
        <v>11531.399999999996</v>
      </c>
      <c r="DU18" s="94">
        <v>9764.6999999999971</v>
      </c>
      <c r="DV18" s="94">
        <v>7245.8999999999987</v>
      </c>
      <c r="DW18" s="94">
        <v>4189.5999999999976</v>
      </c>
      <c r="DX18" s="94">
        <v>2873.3999999999974</v>
      </c>
      <c r="DY18" s="94">
        <v>2928.5000000000018</v>
      </c>
      <c r="DZ18" s="94">
        <v>4251.7</v>
      </c>
      <c r="EA18" s="94">
        <v>7948.6999999999925</v>
      </c>
      <c r="EB18" s="94">
        <v>11097.09999999998</v>
      </c>
      <c r="EC18" s="94">
        <v>13847.80000000001</v>
      </c>
      <c r="ED18" s="224" t="s">
        <v>345</v>
      </c>
      <c r="EE18" s="542">
        <v>8.1999999999999993</v>
      </c>
      <c r="EF18" s="542">
        <v>14.4</v>
      </c>
      <c r="EG18" s="542">
        <v>23.3</v>
      </c>
      <c r="EH18" s="542">
        <v>36.700000000000003</v>
      </c>
      <c r="EI18" s="542">
        <v>71</v>
      </c>
      <c r="EJ18" s="542">
        <v>91.6</v>
      </c>
      <c r="EK18" s="542">
        <v>91.6</v>
      </c>
      <c r="EL18" s="545">
        <v>5.6</v>
      </c>
      <c r="EM18" s="545">
        <v>9.8000000000000007</v>
      </c>
      <c r="EN18" s="545">
        <v>15.9</v>
      </c>
      <c r="EO18" s="545">
        <v>25</v>
      </c>
      <c r="EP18" s="545">
        <v>56.4</v>
      </c>
      <c r="EQ18" s="545">
        <v>63.7</v>
      </c>
      <c r="ER18" s="545">
        <v>63.7</v>
      </c>
      <c r="ES18" s="533">
        <v>17.600000000000001</v>
      </c>
      <c r="ET18" s="533">
        <v>12.9</v>
      </c>
      <c r="EU18" s="537">
        <v>27.6</v>
      </c>
      <c r="EV18" s="537">
        <v>20.3</v>
      </c>
      <c r="EW18" s="540">
        <v>6.7</v>
      </c>
      <c r="EX18" s="540">
        <v>4.9000000000000004</v>
      </c>
    </row>
    <row r="19" spans="1:154" hidden="1">
      <c r="A19" s="345" t="s">
        <v>323</v>
      </c>
      <c r="B19" s="96">
        <v>5.4536774193548387</v>
      </c>
      <c r="C19" s="97">
        <v>6.6949999999999994</v>
      </c>
      <c r="D19" s="97">
        <v>8.6620645161290319</v>
      </c>
      <c r="E19" s="97">
        <v>11.451466666666667</v>
      </c>
      <c r="F19" s="97">
        <v>15.136903225806451</v>
      </c>
      <c r="G19" s="97">
        <v>19.63786666666666</v>
      </c>
      <c r="H19" s="97">
        <v>23.317935483870972</v>
      </c>
      <c r="I19" s="97">
        <v>22.645290322580635</v>
      </c>
      <c r="J19" s="97">
        <v>19.331600000000002</v>
      </c>
      <c r="K19" s="97">
        <v>14.053806451612907</v>
      </c>
      <c r="L19" s="97">
        <v>8.9436</v>
      </c>
      <c r="M19" s="100">
        <v>5.8957688172043019</v>
      </c>
      <c r="N19" s="106">
        <v>8.94</v>
      </c>
      <c r="O19" s="106">
        <v>6.16</v>
      </c>
      <c r="P19" s="106">
        <v>5.4</v>
      </c>
      <c r="Q19" s="106">
        <v>6.06</v>
      </c>
      <c r="R19" s="106">
        <v>9.81</v>
      </c>
      <c r="S19" s="106">
        <v>14.01</v>
      </c>
      <c r="T19" s="106">
        <v>17.97</v>
      </c>
      <c r="U19" s="106">
        <v>20.83</v>
      </c>
      <c r="V19" s="106">
        <v>21.67</v>
      </c>
      <c r="W19" s="106">
        <v>20.32</v>
      </c>
      <c r="X19" s="106">
        <v>17.079999999999998</v>
      </c>
      <c r="Y19" s="106">
        <v>13</v>
      </c>
      <c r="Z19" s="102">
        <v>1699.1935483870968</v>
      </c>
      <c r="AA19" s="4">
        <v>2372.9642857142858</v>
      </c>
      <c r="AB19" s="4">
        <v>3352.4516129032259</v>
      </c>
      <c r="AC19" s="4">
        <v>4326</v>
      </c>
      <c r="AD19" s="4">
        <v>5419.3548387096771</v>
      </c>
      <c r="AE19" s="4">
        <v>6211.7333333333336</v>
      </c>
      <c r="AF19" s="4">
        <v>7077.9677419354839</v>
      </c>
      <c r="AG19" s="4">
        <v>6301.0967741935483</v>
      </c>
      <c r="AH19" s="4">
        <v>4612</v>
      </c>
      <c r="AI19" s="4">
        <v>3087.1290322580644</v>
      </c>
      <c r="AJ19" s="4">
        <v>1967.1666666666667</v>
      </c>
      <c r="AK19" s="23">
        <v>1552.9032258064517</v>
      </c>
      <c r="AL19" s="29">
        <v>2729.5412891493029</v>
      </c>
      <c r="AM19" s="6">
        <v>2863.6142077564559</v>
      </c>
      <c r="AN19" s="6">
        <v>2886.6085319704721</v>
      </c>
      <c r="AO19" s="6">
        <v>2589.5276097360615</v>
      </c>
      <c r="AP19" s="6">
        <v>2509.3366362376273</v>
      </c>
      <c r="AQ19" s="6">
        <v>2518.4420474729272</v>
      </c>
      <c r="AR19" s="6">
        <v>2849.6084727077891</v>
      </c>
      <c r="AS19" s="6">
        <v>3273.3594931855846</v>
      </c>
      <c r="AT19" s="6">
        <v>3536.3068872991344</v>
      </c>
      <c r="AU19" s="6">
        <v>3520.4273273818899</v>
      </c>
      <c r="AV19" s="6">
        <v>3007.3432292844263</v>
      </c>
      <c r="AW19" s="30">
        <v>2743.8980903719494</v>
      </c>
      <c r="AX19" s="39">
        <v>2169.6490913798334</v>
      </c>
      <c r="AY19" s="8">
        <v>2449.0598204388152</v>
      </c>
      <c r="AZ19" s="8">
        <v>2792.7128802470406</v>
      </c>
      <c r="BA19" s="8">
        <v>2927.9817911108225</v>
      </c>
      <c r="BB19" s="8">
        <v>3148.8363176184876</v>
      </c>
      <c r="BC19" s="8">
        <v>3330.5828962186247</v>
      </c>
      <c r="BD19" s="8">
        <v>3887.3736720253978</v>
      </c>
      <c r="BE19" s="8">
        <v>4053.5085831910064</v>
      </c>
      <c r="BF19" s="8">
        <v>3668.8209807344651</v>
      </c>
      <c r="BG19" s="8">
        <v>3094.1064339799236</v>
      </c>
      <c r="BH19" s="8">
        <v>2420.843326046253</v>
      </c>
      <c r="BI19" s="40">
        <v>2141.9564919734185</v>
      </c>
      <c r="BJ19" s="49">
        <v>1311.6974802344128</v>
      </c>
      <c r="BK19" s="10">
        <v>1736.2171731636461</v>
      </c>
      <c r="BL19" s="10">
        <v>2328.3610529068173</v>
      </c>
      <c r="BM19" s="10">
        <v>2854.2284514727498</v>
      </c>
      <c r="BN19" s="10">
        <v>3459.294273932242</v>
      </c>
      <c r="BO19" s="10">
        <v>3908.4408672516356</v>
      </c>
      <c r="BP19" s="10">
        <v>4522.1440293748847</v>
      </c>
      <c r="BQ19" s="10">
        <v>4178.2168237585756</v>
      </c>
      <c r="BR19" s="10">
        <v>3204.0737535915873</v>
      </c>
      <c r="BS19" s="10">
        <v>2262.750179712858</v>
      </c>
      <c r="BT19" s="10">
        <v>1510.1862411176451</v>
      </c>
      <c r="BU19" s="50">
        <v>1224.3143511707724</v>
      </c>
      <c r="BV19" s="57">
        <v>564.74352420751939</v>
      </c>
      <c r="BW19" s="12">
        <v>786.89416498324374</v>
      </c>
      <c r="BX19" s="12">
        <v>1094.539221338187</v>
      </c>
      <c r="BY19" s="12">
        <v>1420.4201176990507</v>
      </c>
      <c r="BZ19" s="12">
        <v>1698.655704775746</v>
      </c>
      <c r="CA19" s="12">
        <v>1834.5774331581763</v>
      </c>
      <c r="CB19" s="12">
        <v>1800.6690414611894</v>
      </c>
      <c r="CC19" s="12">
        <v>1596.260594133347</v>
      </c>
      <c r="CD19" s="12">
        <v>1277.299421251538</v>
      </c>
      <c r="CE19" s="12">
        <v>917.98955271915713</v>
      </c>
      <c r="CF19" s="12">
        <v>629.65735549747296</v>
      </c>
      <c r="CG19" s="63">
        <v>509.98761490602476</v>
      </c>
      <c r="CH19" s="71">
        <v>10042.199999999999</v>
      </c>
      <c r="CI19" s="71">
        <v>8223.4999999999945</v>
      </c>
      <c r="CJ19" s="71">
        <v>7640.800000000002</v>
      </c>
      <c r="CK19" s="71">
        <v>5476.2</v>
      </c>
      <c r="CL19" s="71">
        <v>3307.0000000000027</v>
      </c>
      <c r="CM19" s="71">
        <v>1347.5999999999988</v>
      </c>
      <c r="CN19" s="71">
        <v>484.5</v>
      </c>
      <c r="CO19" s="71">
        <v>468.2000000000001</v>
      </c>
      <c r="CP19" s="71">
        <v>1333.0000000000011</v>
      </c>
      <c r="CQ19" s="71">
        <v>3870.900000000001</v>
      </c>
      <c r="CR19" s="71">
        <v>7186.5000000000027</v>
      </c>
      <c r="CS19" s="71">
        <v>9710.4999999999964</v>
      </c>
      <c r="CT19" s="79">
        <v>0</v>
      </c>
      <c r="CU19" s="79">
        <v>0</v>
      </c>
      <c r="CV19" s="79">
        <v>10.700000000000003</v>
      </c>
      <c r="CW19" s="79">
        <v>120</v>
      </c>
      <c r="CX19" s="79">
        <v>521.9</v>
      </c>
      <c r="CY19" s="79">
        <v>1916.3000000000004</v>
      </c>
      <c r="CZ19" s="79">
        <v>3818.2000000000021</v>
      </c>
      <c r="DA19" s="79">
        <v>3296.2999999999997</v>
      </c>
      <c r="DB19" s="79">
        <v>1669.5999999999985</v>
      </c>
      <c r="DC19" s="79">
        <v>262.19999999999987</v>
      </c>
      <c r="DD19" s="79">
        <v>0</v>
      </c>
      <c r="DE19" s="79">
        <v>0</v>
      </c>
      <c r="DF19" s="87">
        <v>0</v>
      </c>
      <c r="DG19" s="87">
        <v>0</v>
      </c>
      <c r="DH19" s="87">
        <v>0</v>
      </c>
      <c r="DI19" s="87">
        <v>0</v>
      </c>
      <c r="DJ19" s="87">
        <v>1.0000000000000036</v>
      </c>
      <c r="DK19" s="87">
        <v>273.7</v>
      </c>
      <c r="DL19" s="87">
        <v>1137.3999999999992</v>
      </c>
      <c r="DM19" s="87">
        <v>861.80000000000064</v>
      </c>
      <c r="DN19" s="87">
        <v>202.69999999999973</v>
      </c>
      <c r="DO19" s="87">
        <v>0</v>
      </c>
      <c r="DP19" s="87">
        <v>0</v>
      </c>
      <c r="DQ19" s="87">
        <v>0</v>
      </c>
      <c r="DR19" s="94">
        <v>15250.199999999999</v>
      </c>
      <c r="DS19" s="94">
        <v>12927.499999999982</v>
      </c>
      <c r="DT19" s="94">
        <v>12838.099999999997</v>
      </c>
      <c r="DU19" s="94">
        <v>10396.200000000012</v>
      </c>
      <c r="DV19" s="94">
        <v>7994.099999999994</v>
      </c>
      <c r="DW19" s="94">
        <v>4745.0000000000036</v>
      </c>
      <c r="DX19" s="94">
        <v>3011.699999999998</v>
      </c>
      <c r="DY19" s="94">
        <v>3241.7000000000007</v>
      </c>
      <c r="DZ19" s="94">
        <v>4906.0999999999931</v>
      </c>
      <c r="EA19" s="94">
        <v>8816.6999999999971</v>
      </c>
      <c r="EB19" s="94">
        <v>12226.500000000004</v>
      </c>
      <c r="EC19" s="94">
        <v>14918.499999999987</v>
      </c>
      <c r="ED19" s="224" t="s">
        <v>151</v>
      </c>
      <c r="EE19" s="542">
        <v>10.8</v>
      </c>
      <c r="EF19" s="542">
        <v>17.8</v>
      </c>
      <c r="EG19" s="542">
        <v>27.6</v>
      </c>
      <c r="EH19" s="542">
        <v>42.4</v>
      </c>
      <c r="EI19" s="542">
        <v>65.7</v>
      </c>
      <c r="EJ19" s="542">
        <v>78.8</v>
      </c>
      <c r="EK19" s="542">
        <v>78.8</v>
      </c>
      <c r="EL19" s="545">
        <v>7.4</v>
      </c>
      <c r="EM19" s="545">
        <v>12.1</v>
      </c>
      <c r="EN19" s="545">
        <v>18.8</v>
      </c>
      <c r="EO19" s="545">
        <v>28.8</v>
      </c>
      <c r="EP19" s="545">
        <v>56.1</v>
      </c>
      <c r="EQ19" s="545">
        <v>67.3</v>
      </c>
      <c r="ER19" s="545">
        <v>67.3</v>
      </c>
      <c r="ES19" s="533">
        <v>17.899999999999999</v>
      </c>
      <c r="ET19" s="533">
        <v>13.1</v>
      </c>
      <c r="EU19" s="537">
        <v>28.1</v>
      </c>
      <c r="EV19" s="537">
        <v>20.6</v>
      </c>
      <c r="EW19" s="540">
        <v>6.8</v>
      </c>
      <c r="EX19" s="540">
        <v>5</v>
      </c>
    </row>
    <row r="20" spans="1:154" hidden="1">
      <c r="A20" s="345" t="s">
        <v>324</v>
      </c>
      <c r="B20" s="96">
        <v>12.113161290322578</v>
      </c>
      <c r="C20" s="97">
        <v>12.691571428571427</v>
      </c>
      <c r="D20" s="97">
        <v>14.360129032258065</v>
      </c>
      <c r="E20" s="97">
        <v>16.446133333333332</v>
      </c>
      <c r="F20" s="97">
        <v>19.09277419354839</v>
      </c>
      <c r="G20" s="97">
        <v>22.068133333333332</v>
      </c>
      <c r="H20" s="97">
        <v>25.148387096774194</v>
      </c>
      <c r="I20" s="97">
        <v>25.589419354838707</v>
      </c>
      <c r="J20" s="97">
        <v>23.563200000000002</v>
      </c>
      <c r="K20" s="97">
        <v>19.924903225806457</v>
      </c>
      <c r="L20" s="97">
        <v>15.284266666666664</v>
      </c>
      <c r="M20" s="100">
        <v>12.404279569892477</v>
      </c>
      <c r="N20" s="106">
        <v>14.84</v>
      </c>
      <c r="O20" s="106">
        <v>12.75</v>
      </c>
      <c r="P20" s="106">
        <v>12.18</v>
      </c>
      <c r="Q20" s="106">
        <v>12.68</v>
      </c>
      <c r="R20" s="106">
        <v>15.5</v>
      </c>
      <c r="S20" s="106">
        <v>18.66</v>
      </c>
      <c r="T20" s="106">
        <v>21.64</v>
      </c>
      <c r="U20" s="106">
        <v>23.79</v>
      </c>
      <c r="V20" s="106">
        <v>24.42</v>
      </c>
      <c r="W20" s="106">
        <v>23.41</v>
      </c>
      <c r="X20" s="106">
        <v>20.97</v>
      </c>
      <c r="Y20" s="106">
        <v>17.899999999999999</v>
      </c>
      <c r="Z20" s="102">
        <v>2345.0967741935483</v>
      </c>
      <c r="AA20" s="4">
        <v>3080.5357142857142</v>
      </c>
      <c r="AB20" s="4">
        <v>4228.5806451612907</v>
      </c>
      <c r="AC20" s="4">
        <v>5559</v>
      </c>
      <c r="AD20" s="4">
        <v>6566.8709677419356</v>
      </c>
      <c r="AE20" s="4">
        <v>7125.6333333333332</v>
      </c>
      <c r="AF20" s="4">
        <v>7565.8387096774195</v>
      </c>
      <c r="AG20" s="4">
        <v>6843.0322580645161</v>
      </c>
      <c r="AH20" s="4">
        <v>5433.5333333333338</v>
      </c>
      <c r="AI20" s="4">
        <v>3879</v>
      </c>
      <c r="AJ20" s="4">
        <v>2677.1666666666665</v>
      </c>
      <c r="AK20" s="23">
        <v>2154.2258064516127</v>
      </c>
      <c r="AL20" s="29">
        <v>3668.7933973728568</v>
      </c>
      <c r="AM20" s="6">
        <v>3618.2823667256457</v>
      </c>
      <c r="AN20" s="6">
        <v>3512.9642163240778</v>
      </c>
      <c r="AO20" s="6">
        <v>3082.1535087804268</v>
      </c>
      <c r="AP20" s="6">
        <v>2676.5257788594822</v>
      </c>
      <c r="AQ20" s="6">
        <v>2511.4567324178747</v>
      </c>
      <c r="AR20" s="6">
        <v>2709.5828647330823</v>
      </c>
      <c r="AS20" s="6">
        <v>3230.2868279406539</v>
      </c>
      <c r="AT20" s="6">
        <v>3911.5567834432477</v>
      </c>
      <c r="AU20" s="6">
        <v>4257.4874654883306</v>
      </c>
      <c r="AV20" s="6">
        <v>3988.5972674619093</v>
      </c>
      <c r="AW20" s="30">
        <v>3671.4676427512386</v>
      </c>
      <c r="AX20" s="39">
        <v>2922.6492384030748</v>
      </c>
      <c r="AY20" s="8">
        <v>3113.8718989978997</v>
      </c>
      <c r="AZ20" s="8">
        <v>3456.8893797540359</v>
      </c>
      <c r="BA20" s="8">
        <v>3667.2830944485872</v>
      </c>
      <c r="BB20" s="8">
        <v>3642.6397547743222</v>
      </c>
      <c r="BC20" s="8">
        <v>3622.4294714649277</v>
      </c>
      <c r="BD20" s="8">
        <v>3958.743690233388</v>
      </c>
      <c r="BE20" s="8">
        <v>4204.9262536268261</v>
      </c>
      <c r="BF20" s="8">
        <v>4172.6740073270294</v>
      </c>
      <c r="BG20" s="8">
        <v>3780.2393748744585</v>
      </c>
      <c r="BH20" s="8">
        <v>3220.1074950643924</v>
      </c>
      <c r="BI20" s="40">
        <v>2873.350548898035</v>
      </c>
      <c r="BJ20" s="49">
        <v>1781.2765524669271</v>
      </c>
      <c r="BK20" s="10">
        <v>2222.8905094249794</v>
      </c>
      <c r="BL20" s="10">
        <v>2907.745222010898</v>
      </c>
      <c r="BM20" s="10">
        <v>3647.6859696582005</v>
      </c>
      <c r="BN20" s="10">
        <v>4154.6049168843538</v>
      </c>
      <c r="BO20" s="10">
        <v>4433.1864497302658</v>
      </c>
      <c r="BP20" s="10">
        <v>4758.887945738813</v>
      </c>
      <c r="BQ20" s="10">
        <v>4455.8340348222991</v>
      </c>
      <c r="BR20" s="10">
        <v>3712.8563583526652</v>
      </c>
      <c r="BS20" s="10">
        <v>2795.3955169611381</v>
      </c>
      <c r="BT20" s="10">
        <v>2022.8805947942997</v>
      </c>
      <c r="BU20" s="50">
        <v>1664.7880094686118</v>
      </c>
      <c r="BV20" s="57">
        <v>688.8498290649668</v>
      </c>
      <c r="BW20" s="12">
        <v>911.61161093612668</v>
      </c>
      <c r="BX20" s="12">
        <v>1213.6260191371264</v>
      </c>
      <c r="BY20" s="12">
        <v>1531.7800146939417</v>
      </c>
      <c r="BZ20" s="12">
        <v>1755.2484832643042</v>
      </c>
      <c r="CA20" s="12">
        <v>1845.7563641211584</v>
      </c>
      <c r="CB20" s="12">
        <v>1784.5410496761158</v>
      </c>
      <c r="CC20" s="12">
        <v>1609.5526380405995</v>
      </c>
      <c r="CD20" s="12">
        <v>1339.6920358441475</v>
      </c>
      <c r="CE20" s="12">
        <v>1020.0629785321719</v>
      </c>
      <c r="CF20" s="12">
        <v>750.75184894682036</v>
      </c>
      <c r="CG20" s="63">
        <v>628.79297812692175</v>
      </c>
      <c r="CH20" s="71">
        <v>5103.7000000000016</v>
      </c>
      <c r="CI20" s="71">
        <v>4299.4999999999955</v>
      </c>
      <c r="CJ20" s="71">
        <v>3568.5999999999985</v>
      </c>
      <c r="CK20" s="71">
        <v>2274.2000000000003</v>
      </c>
      <c r="CL20" s="71">
        <v>1112.5000000000009</v>
      </c>
      <c r="CM20" s="71">
        <v>363.80000000000047</v>
      </c>
      <c r="CN20" s="71">
        <v>34.100000000000023</v>
      </c>
      <c r="CO20" s="71">
        <v>8.7000000000000099</v>
      </c>
      <c r="CP20" s="71">
        <v>53.00000000000005</v>
      </c>
      <c r="CQ20" s="71">
        <v>890.8000000000003</v>
      </c>
      <c r="CR20" s="71">
        <v>2843.5000000000014</v>
      </c>
      <c r="CS20" s="71">
        <v>4939.0000000000009</v>
      </c>
      <c r="CT20" s="79">
        <v>19.199999999999989</v>
      </c>
      <c r="CU20" s="79">
        <v>104.6</v>
      </c>
      <c r="CV20" s="79">
        <v>172.79999999999993</v>
      </c>
      <c r="CW20" s="79">
        <v>497.99999999999994</v>
      </c>
      <c r="CX20" s="79">
        <v>1246.5999999999992</v>
      </c>
      <c r="CY20" s="79">
        <v>2642.7999999999965</v>
      </c>
      <c r="CZ20" s="79">
        <v>4684.2999999999956</v>
      </c>
      <c r="DA20" s="79">
        <v>4990.6999999999944</v>
      </c>
      <c r="DB20" s="79">
        <v>3410.1999999999989</v>
      </c>
      <c r="DC20" s="79">
        <v>1641.0999999999983</v>
      </c>
      <c r="DD20" s="79">
        <v>221.6999999999999</v>
      </c>
      <c r="DE20" s="79">
        <v>76.900000000000006</v>
      </c>
      <c r="DF20" s="87">
        <v>0</v>
      </c>
      <c r="DG20" s="87">
        <v>0</v>
      </c>
      <c r="DH20" s="87">
        <v>0</v>
      </c>
      <c r="DI20" s="87">
        <v>0</v>
      </c>
      <c r="DJ20" s="87">
        <v>28.000000000000011</v>
      </c>
      <c r="DK20" s="87">
        <v>347.00000000000011</v>
      </c>
      <c r="DL20" s="87">
        <v>1018.600000000001</v>
      </c>
      <c r="DM20" s="87">
        <v>1217.7</v>
      </c>
      <c r="DN20" s="87">
        <v>546.29999999999995</v>
      </c>
      <c r="DO20" s="87">
        <v>122.00000000000003</v>
      </c>
      <c r="DP20" s="87">
        <v>0</v>
      </c>
      <c r="DQ20" s="87">
        <v>0</v>
      </c>
      <c r="DR20" s="94">
        <v>10292.500000000013</v>
      </c>
      <c r="DS20" s="94">
        <v>8898.9000000000142</v>
      </c>
      <c r="DT20" s="94">
        <v>8603.8000000000029</v>
      </c>
      <c r="DU20" s="94">
        <v>6816.1999999999971</v>
      </c>
      <c r="DV20" s="94">
        <v>5101.899999999996</v>
      </c>
      <c r="DW20" s="94">
        <v>3107.9999999999991</v>
      </c>
      <c r="DX20" s="94">
        <v>1576.3999999999987</v>
      </c>
      <c r="DY20" s="94">
        <v>1443.7000000000014</v>
      </c>
      <c r="DZ20" s="94">
        <v>2229.099999999999</v>
      </c>
      <c r="EA20" s="94">
        <v>4579.6999999999989</v>
      </c>
      <c r="EB20" s="94">
        <v>7661.7999999999984</v>
      </c>
      <c r="EC20" s="94">
        <v>10070.100000000017</v>
      </c>
      <c r="ED20" s="224" t="s">
        <v>152</v>
      </c>
      <c r="EE20" s="542">
        <v>5</v>
      </c>
      <c r="EF20" s="542">
        <v>8.9</v>
      </c>
      <c r="EG20" s="542">
        <v>14.4</v>
      </c>
      <c r="EH20" s="542">
        <v>22.6</v>
      </c>
      <c r="EI20" s="542">
        <v>55.3</v>
      </c>
      <c r="EJ20" s="542">
        <v>68</v>
      </c>
      <c r="EK20" s="542">
        <v>68</v>
      </c>
      <c r="EL20" s="545">
        <v>3.3</v>
      </c>
      <c r="EM20" s="545">
        <v>5.8</v>
      </c>
      <c r="EN20" s="545">
        <v>9.3000000000000007</v>
      </c>
      <c r="EO20" s="545">
        <v>14.6</v>
      </c>
      <c r="EP20" s="545">
        <v>37.6</v>
      </c>
      <c r="EQ20" s="545">
        <v>41</v>
      </c>
      <c r="ER20" s="545">
        <v>41</v>
      </c>
      <c r="ES20" s="533">
        <v>16.7</v>
      </c>
      <c r="ET20" s="533">
        <v>12.3</v>
      </c>
      <c r="EU20" s="537">
        <v>26.2</v>
      </c>
      <c r="EV20" s="537">
        <v>19.3</v>
      </c>
      <c r="EW20" s="540">
        <v>6.3</v>
      </c>
      <c r="EX20" s="540">
        <v>4.7</v>
      </c>
    </row>
    <row r="21" spans="1:154" hidden="1">
      <c r="A21" s="345" t="s">
        <v>325</v>
      </c>
      <c r="B21" s="96">
        <v>4.6389677419354838</v>
      </c>
      <c r="C21" s="97">
        <v>6.58357142857143</v>
      </c>
      <c r="D21" s="97">
        <v>8.9682580645161298</v>
      </c>
      <c r="E21" s="97">
        <v>11.245733333333336</v>
      </c>
      <c r="F21" s="97">
        <v>15.189032258064515</v>
      </c>
      <c r="G21" s="97">
        <v>19.402533333333334</v>
      </c>
      <c r="H21" s="97">
        <v>23.107225806451613</v>
      </c>
      <c r="I21" s="97">
        <v>22.58206451612903</v>
      </c>
      <c r="J21" s="97">
        <v>19.601999999999997</v>
      </c>
      <c r="K21" s="97">
        <v>14.475354838709677</v>
      </c>
      <c r="L21" s="97">
        <v>8.6892000000000014</v>
      </c>
      <c r="M21" s="100">
        <v>5.2066881720430116</v>
      </c>
      <c r="N21" s="106">
        <v>5.0199999999999996</v>
      </c>
      <c r="O21" s="106">
        <v>6.6</v>
      </c>
      <c r="P21" s="106">
        <v>9.68</v>
      </c>
      <c r="Q21" s="106">
        <v>12.59</v>
      </c>
      <c r="R21" s="106">
        <v>18.100000000000001</v>
      </c>
      <c r="S21" s="106">
        <v>21</v>
      </c>
      <c r="T21" s="106">
        <v>21.8</v>
      </c>
      <c r="U21" s="106">
        <v>20.329999999999998</v>
      </c>
      <c r="V21" s="106">
        <v>16.93</v>
      </c>
      <c r="W21" s="106">
        <v>12.7</v>
      </c>
      <c r="X21" s="106">
        <v>8.5299999999999994</v>
      </c>
      <c r="Y21" s="106">
        <v>5.77</v>
      </c>
      <c r="Z21" s="102">
        <v>1823.6129032258063</v>
      </c>
      <c r="AA21" s="4">
        <v>2867.1785714285716</v>
      </c>
      <c r="AB21" s="4">
        <v>4026.9354838709678</v>
      </c>
      <c r="AC21" s="4">
        <v>5236.8</v>
      </c>
      <c r="AD21" s="4">
        <v>6072.7741935483873</v>
      </c>
      <c r="AE21" s="4">
        <v>6784.2666666666664</v>
      </c>
      <c r="AF21" s="4">
        <v>7193.5483870967746</v>
      </c>
      <c r="AG21" s="4">
        <v>6297.4193548387093</v>
      </c>
      <c r="AH21" s="4">
        <v>4769.1333333333332</v>
      </c>
      <c r="AI21" s="4">
        <v>3322.4193548387098</v>
      </c>
      <c r="AJ21" s="4">
        <v>2142.8666666666668</v>
      </c>
      <c r="AK21" s="23">
        <v>1634.7096774193549</v>
      </c>
      <c r="AL21" s="29">
        <v>3286.0429616833671</v>
      </c>
      <c r="AM21" s="6">
        <v>3949.9808807432296</v>
      </c>
      <c r="AN21" s="6">
        <v>3777.7160420949904</v>
      </c>
      <c r="AO21" s="6">
        <v>3234.4684536671007</v>
      </c>
      <c r="AP21" s="6">
        <v>2816.1080713703564</v>
      </c>
      <c r="AQ21" s="6">
        <v>2743.0500381013549</v>
      </c>
      <c r="AR21" s="6">
        <v>2982.0050109949539</v>
      </c>
      <c r="AS21" s="6">
        <v>3384.415001027282</v>
      </c>
      <c r="AT21" s="6">
        <v>3818.2782155146938</v>
      </c>
      <c r="AU21" s="6">
        <v>4099.1028620076422</v>
      </c>
      <c r="AV21" s="6">
        <v>3670.1708583302839</v>
      </c>
      <c r="AW21" s="30">
        <v>3242.9782668745042</v>
      </c>
      <c r="AX21" s="39">
        <v>2570.6122465124527</v>
      </c>
      <c r="AY21" s="8">
        <v>3305.9605550727715</v>
      </c>
      <c r="AZ21" s="8">
        <v>3610.925243981003</v>
      </c>
      <c r="BA21" s="8">
        <v>3689.6106982841065</v>
      </c>
      <c r="BB21" s="8">
        <v>3577.7521726789319</v>
      </c>
      <c r="BC21" s="8">
        <v>3665.5663315067668</v>
      </c>
      <c r="BD21" s="8">
        <v>4018.5476955366175</v>
      </c>
      <c r="BE21" s="8">
        <v>4138.0646621531341</v>
      </c>
      <c r="BF21" s="8">
        <v>3928.3756206726134</v>
      </c>
      <c r="BG21" s="8">
        <v>3555.2707642742121</v>
      </c>
      <c r="BH21" s="8">
        <v>2906.3217372777544</v>
      </c>
      <c r="BI21" s="40">
        <v>2494.6584984084961</v>
      </c>
      <c r="BJ21" s="49">
        <v>1472.9055194919179</v>
      </c>
      <c r="BK21" s="10">
        <v>2209.0502660758507</v>
      </c>
      <c r="BL21" s="10">
        <v>2903.0161734947496</v>
      </c>
      <c r="BM21" s="10">
        <v>3546.8882087780744</v>
      </c>
      <c r="BN21" s="10">
        <v>3931.8914736727397</v>
      </c>
      <c r="BO21" s="10">
        <v>4316.0182972671419</v>
      </c>
      <c r="BP21" s="10">
        <v>4639.8505205804759</v>
      </c>
      <c r="BQ21" s="10">
        <v>4222.2314884737152</v>
      </c>
      <c r="BR21" s="10">
        <v>3375.8594406723178</v>
      </c>
      <c r="BS21" s="10">
        <v>2515.1837494451288</v>
      </c>
      <c r="BT21" s="10">
        <v>1721.2740144557763</v>
      </c>
      <c r="BU21" s="50">
        <v>1349.855261061088</v>
      </c>
      <c r="BV21" s="57">
        <v>555.54128976628158</v>
      </c>
      <c r="BW21" s="12">
        <v>806.92245125256966</v>
      </c>
      <c r="BX21" s="12">
        <v>1126.3087365522181</v>
      </c>
      <c r="BY21" s="12">
        <v>1474.8972619861622</v>
      </c>
      <c r="BZ21" s="12">
        <v>1735.1098644900089</v>
      </c>
      <c r="CA21" s="12">
        <v>1857.6450640873481</v>
      </c>
      <c r="CB21" s="12">
        <v>1798.9831460754215</v>
      </c>
      <c r="CC21" s="12">
        <v>1584.3175927340255</v>
      </c>
      <c r="CD21" s="12">
        <v>1259.4545515754432</v>
      </c>
      <c r="CE21" s="12">
        <v>904.46323154527067</v>
      </c>
      <c r="CF21" s="12">
        <v>620.57583595245717</v>
      </c>
      <c r="CG21" s="63">
        <v>495.62909934638219</v>
      </c>
      <c r="CH21" s="71">
        <v>10648.79999999999</v>
      </c>
      <c r="CI21" s="71">
        <v>8299.4999999999873</v>
      </c>
      <c r="CJ21" s="71">
        <v>7401.800000000002</v>
      </c>
      <c r="CK21" s="71">
        <v>5556.2999999999993</v>
      </c>
      <c r="CL21" s="71">
        <v>3402.5000000000023</v>
      </c>
      <c r="CM21" s="71">
        <v>1288.599999999999</v>
      </c>
      <c r="CN21" s="71">
        <v>308.89999999999998</v>
      </c>
      <c r="CO21" s="71">
        <v>326.49999999999972</v>
      </c>
      <c r="CP21" s="71">
        <v>1049.6999999999996</v>
      </c>
      <c r="CQ21" s="71">
        <v>3737.899999999996</v>
      </c>
      <c r="CR21" s="71">
        <v>7380.4000000000051</v>
      </c>
      <c r="CS21" s="71">
        <v>10226.800000000014</v>
      </c>
      <c r="CT21" s="79">
        <v>0</v>
      </c>
      <c r="CU21" s="79">
        <v>0</v>
      </c>
      <c r="CV21" s="79">
        <v>0</v>
      </c>
      <c r="CW21" s="79">
        <v>42.8</v>
      </c>
      <c r="CX21" s="79">
        <v>660.39999999999975</v>
      </c>
      <c r="CY21" s="79">
        <v>1676.7000000000005</v>
      </c>
      <c r="CZ21" s="79">
        <v>3481.1</v>
      </c>
      <c r="DA21" s="79">
        <v>3087.6999999999975</v>
      </c>
      <c r="DB21" s="79">
        <v>1565.7999999999993</v>
      </c>
      <c r="DC21" s="79">
        <v>438.59999999999991</v>
      </c>
      <c r="DD21" s="79">
        <v>0</v>
      </c>
      <c r="DE21" s="79">
        <v>0</v>
      </c>
      <c r="DF21" s="87">
        <v>0</v>
      </c>
      <c r="DG21" s="87">
        <v>0</v>
      </c>
      <c r="DH21" s="87">
        <v>0</v>
      </c>
      <c r="DI21" s="87">
        <v>0</v>
      </c>
      <c r="DJ21" s="87">
        <v>11.100000000000005</v>
      </c>
      <c r="DK21" s="87">
        <v>129.80000000000007</v>
      </c>
      <c r="DL21" s="87">
        <v>859.99999999999977</v>
      </c>
      <c r="DM21" s="87">
        <v>637.10000000000036</v>
      </c>
      <c r="DN21" s="87">
        <v>146.49999999999986</v>
      </c>
      <c r="DO21" s="87">
        <v>8.2000000000000028</v>
      </c>
      <c r="DP21" s="87">
        <v>0</v>
      </c>
      <c r="DQ21" s="87">
        <v>0</v>
      </c>
      <c r="DR21" s="94">
        <v>15856.799999999992</v>
      </c>
      <c r="DS21" s="94">
        <v>13003.500000000009</v>
      </c>
      <c r="DT21" s="94">
        <v>12609.799999999992</v>
      </c>
      <c r="DU21" s="94">
        <v>10553.499999999987</v>
      </c>
      <c r="DV21" s="94">
        <v>7961.2000000000044</v>
      </c>
      <c r="DW21" s="94">
        <v>4781.7000000000007</v>
      </c>
      <c r="DX21" s="94">
        <v>2895.7999999999979</v>
      </c>
      <c r="DY21" s="94">
        <v>3083.8999999999978</v>
      </c>
      <c r="DZ21" s="94">
        <v>4670.4000000000024</v>
      </c>
      <c r="EA21" s="94">
        <v>8515.5000000000036</v>
      </c>
      <c r="EB21" s="94">
        <v>12420.399999999992</v>
      </c>
      <c r="EC21" s="94">
        <v>15434.80000000001</v>
      </c>
      <c r="ED21" s="224" t="s">
        <v>304</v>
      </c>
      <c r="EE21" s="542">
        <v>11.1</v>
      </c>
      <c r="EF21" s="542">
        <v>18.2</v>
      </c>
      <c r="EG21" s="542">
        <v>28.3</v>
      </c>
      <c r="EH21" s="542">
        <v>43.4</v>
      </c>
      <c r="EI21" s="542">
        <v>63.1</v>
      </c>
      <c r="EJ21" s="542">
        <v>82.7</v>
      </c>
      <c r="EK21" s="542">
        <v>82.7</v>
      </c>
      <c r="EL21" s="545">
        <v>7.6</v>
      </c>
      <c r="EM21" s="545">
        <v>12.4</v>
      </c>
      <c r="EN21" s="545">
        <v>19.3</v>
      </c>
      <c r="EO21" s="545">
        <v>29.7</v>
      </c>
      <c r="EP21" s="545">
        <v>53.8</v>
      </c>
      <c r="EQ21" s="545">
        <v>62.9</v>
      </c>
      <c r="ER21" s="545">
        <v>62.9</v>
      </c>
      <c r="ES21" s="533">
        <v>17.899999999999999</v>
      </c>
      <c r="ET21" s="533">
        <v>13.1</v>
      </c>
      <c r="EU21" s="537">
        <v>28.1</v>
      </c>
      <c r="EV21" s="537">
        <v>20.6</v>
      </c>
      <c r="EW21" s="540">
        <v>6.8</v>
      </c>
      <c r="EX21" s="540">
        <v>5</v>
      </c>
    </row>
    <row r="22" spans="1:154" hidden="1">
      <c r="A22" s="345" t="s">
        <v>326</v>
      </c>
      <c r="B22" s="96">
        <v>10.217419354838707</v>
      </c>
      <c r="C22" s="97">
        <v>10.450428571428573</v>
      </c>
      <c r="D22" s="97">
        <v>11.251096774193551</v>
      </c>
      <c r="E22" s="97">
        <v>12.082000000000001</v>
      </c>
      <c r="F22" s="97">
        <v>14.056516129032259</v>
      </c>
      <c r="G22" s="97">
        <v>16.392000000000003</v>
      </c>
      <c r="H22" s="97">
        <v>18.349677419354837</v>
      </c>
      <c r="I22" s="97">
        <v>18.799354838709679</v>
      </c>
      <c r="J22" s="97">
        <v>18.051733333333335</v>
      </c>
      <c r="K22" s="97">
        <v>15.695354838709678</v>
      </c>
      <c r="L22" s="97">
        <v>12.61106666666667</v>
      </c>
      <c r="M22" s="100">
        <v>10.879634408602151</v>
      </c>
      <c r="N22" s="106">
        <v>10.58</v>
      </c>
      <c r="O22" s="106">
        <v>10.24</v>
      </c>
      <c r="P22" s="106">
        <v>10.85</v>
      </c>
      <c r="Q22" s="106">
        <v>11.82</v>
      </c>
      <c r="R22" s="106">
        <v>14.35</v>
      </c>
      <c r="S22" s="106">
        <v>16.29</v>
      </c>
      <c r="T22" s="106">
        <v>17.61</v>
      </c>
      <c r="U22" s="106">
        <v>18.010000000000002</v>
      </c>
      <c r="V22" s="106">
        <v>17.329999999999998</v>
      </c>
      <c r="W22" s="106">
        <v>15.81</v>
      </c>
      <c r="X22" s="106">
        <v>13.79</v>
      </c>
      <c r="Y22" s="106">
        <v>11.91</v>
      </c>
      <c r="Z22" s="102">
        <v>1469.3548387096773</v>
      </c>
      <c r="AA22" s="4">
        <v>2163.2857142857142</v>
      </c>
      <c r="AB22" s="4">
        <v>3163.8709677419356</v>
      </c>
      <c r="AC22" s="4">
        <v>4207.5333333333338</v>
      </c>
      <c r="AD22" s="4">
        <v>5056.2258064516127</v>
      </c>
      <c r="AE22" s="4">
        <v>5722.1333333333332</v>
      </c>
      <c r="AF22" s="4">
        <v>6054.5483870967746</v>
      </c>
      <c r="AG22" s="4">
        <v>5476.0967741935483</v>
      </c>
      <c r="AH22" s="4">
        <v>3967.0333333333333</v>
      </c>
      <c r="AI22" s="4">
        <v>2830.516129032258</v>
      </c>
      <c r="AJ22" s="4">
        <v>1718.1333333333334</v>
      </c>
      <c r="AK22" s="23">
        <v>1254.9677419354839</v>
      </c>
      <c r="AL22" s="29">
        <v>2578.0913084283552</v>
      </c>
      <c r="AM22" s="6">
        <v>2807.3575089233659</v>
      </c>
      <c r="AN22" s="6">
        <v>2887.0720942758821</v>
      </c>
      <c r="AO22" s="6">
        <v>2650.3188759014142</v>
      </c>
      <c r="AP22" s="6">
        <v>2494.1178658522881</v>
      </c>
      <c r="AQ22" s="6">
        <v>2516.0183592068861</v>
      </c>
      <c r="AR22" s="6">
        <v>2720.4213219187354</v>
      </c>
      <c r="AS22" s="6">
        <v>3058.3225837032837</v>
      </c>
      <c r="AT22" s="6">
        <v>3171.3903926880894</v>
      </c>
      <c r="AU22" s="6">
        <v>3455.8479316123094</v>
      </c>
      <c r="AV22" s="6">
        <v>2851.6940384553391</v>
      </c>
      <c r="AW22" s="30">
        <v>2378.1296391661144</v>
      </c>
      <c r="AX22" s="39">
        <v>2025.8399480091841</v>
      </c>
      <c r="AY22" s="8">
        <v>2370.3271590597892</v>
      </c>
      <c r="AZ22" s="8">
        <v>2754.7389136248876</v>
      </c>
      <c r="BA22" s="8">
        <v>2945.9191025353375</v>
      </c>
      <c r="BB22" s="8">
        <v>3026.0761782207742</v>
      </c>
      <c r="BC22" s="8">
        <v>3175.1292643894931</v>
      </c>
      <c r="BD22" s="8">
        <v>3462.3049669932643</v>
      </c>
      <c r="BE22" s="8">
        <v>3630.2312752719649</v>
      </c>
      <c r="BF22" s="8">
        <v>3231.0719924816535</v>
      </c>
      <c r="BG22" s="8">
        <v>2998.2636203155298</v>
      </c>
      <c r="BH22" s="8">
        <v>2269.4443332005098</v>
      </c>
      <c r="BI22" s="40">
        <v>1842.4663137059661</v>
      </c>
      <c r="BJ22" s="49">
        <v>1177.2754248535232</v>
      </c>
      <c r="BK22" s="10">
        <v>1631.6680827391233</v>
      </c>
      <c r="BL22" s="10">
        <v>2248.9620145638819</v>
      </c>
      <c r="BM22" s="10">
        <v>2825.1843160758717</v>
      </c>
      <c r="BN22" s="10">
        <v>3263.3943339447428</v>
      </c>
      <c r="BO22" s="10">
        <v>3636.7180361002238</v>
      </c>
      <c r="BP22" s="10">
        <v>3899.0792043243082</v>
      </c>
      <c r="BQ22" s="10">
        <v>3667.6622454373496</v>
      </c>
      <c r="BR22" s="10">
        <v>2789.425103274204</v>
      </c>
      <c r="BS22" s="10">
        <v>2136.5374874411846</v>
      </c>
      <c r="BT22" s="10">
        <v>1366.5348877537156</v>
      </c>
      <c r="BU22" s="50">
        <v>1020.103314396516</v>
      </c>
      <c r="BV22" s="57">
        <v>493.7228535253563</v>
      </c>
      <c r="BW22" s="12">
        <v>720.54939668236716</v>
      </c>
      <c r="BX22" s="12">
        <v>1038.6118143736678</v>
      </c>
      <c r="BY22" s="12">
        <v>1387.607744940661</v>
      </c>
      <c r="BZ22" s="12">
        <v>1662.5526090832523</v>
      </c>
      <c r="CA22" s="12">
        <v>1809.5658160675005</v>
      </c>
      <c r="CB22" s="12">
        <v>1781.7070366560949</v>
      </c>
      <c r="CC22" s="12">
        <v>1561.407621675437</v>
      </c>
      <c r="CD22" s="12">
        <v>1203.1027522208803</v>
      </c>
      <c r="CE22" s="12">
        <v>851.02718402311677</v>
      </c>
      <c r="CF22" s="12">
        <v>557.37939161810721</v>
      </c>
      <c r="CG22" s="63">
        <v>429.59410564957057</v>
      </c>
      <c r="CH22" s="71">
        <v>6512.9999999999909</v>
      </c>
      <c r="CI22" s="71">
        <v>5715.1000000000013</v>
      </c>
      <c r="CJ22" s="71">
        <v>5736.00000000001</v>
      </c>
      <c r="CK22" s="71">
        <v>4959.2000000000071</v>
      </c>
      <c r="CL22" s="71">
        <v>3675.2000000000057</v>
      </c>
      <c r="CM22" s="71">
        <v>2062.699999999998</v>
      </c>
      <c r="CN22" s="71">
        <v>1041.1000000000001</v>
      </c>
      <c r="CO22" s="71">
        <v>829.69999999999936</v>
      </c>
      <c r="CP22" s="71">
        <v>1217.3000000000002</v>
      </c>
      <c r="CQ22" s="71">
        <v>2555.2999999999988</v>
      </c>
      <c r="CR22" s="71">
        <v>4568.900000000006</v>
      </c>
      <c r="CS22" s="71">
        <v>6020.1000000000122</v>
      </c>
      <c r="CT22" s="79">
        <v>0</v>
      </c>
      <c r="CU22" s="79">
        <v>0</v>
      </c>
      <c r="CV22" s="79">
        <v>5.7000000000000028</v>
      </c>
      <c r="CW22" s="79">
        <v>17.899999999999999</v>
      </c>
      <c r="CX22" s="79">
        <v>36.399999999999991</v>
      </c>
      <c r="CY22" s="79">
        <v>224.79999999999998</v>
      </c>
      <c r="CZ22" s="79">
        <v>602.49999999999966</v>
      </c>
      <c r="DA22" s="79">
        <v>721.7</v>
      </c>
      <c r="DB22" s="79">
        <v>575.30000000000064</v>
      </c>
      <c r="DC22" s="79">
        <v>136.1</v>
      </c>
      <c r="DD22" s="79">
        <v>0</v>
      </c>
      <c r="DE22" s="79">
        <v>1.3999999999999986</v>
      </c>
      <c r="DF22" s="87">
        <v>0</v>
      </c>
      <c r="DG22" s="87">
        <v>0</v>
      </c>
      <c r="DH22" s="87">
        <v>0</v>
      </c>
      <c r="DI22" s="87">
        <v>0</v>
      </c>
      <c r="DJ22" s="87">
        <v>0</v>
      </c>
      <c r="DK22" s="87">
        <v>0</v>
      </c>
      <c r="DL22" s="87">
        <v>7.1000000000000014</v>
      </c>
      <c r="DM22" s="87">
        <v>0</v>
      </c>
      <c r="DN22" s="87">
        <v>1.100000000000005</v>
      </c>
      <c r="DO22" s="87">
        <v>0</v>
      </c>
      <c r="DP22" s="87">
        <v>0</v>
      </c>
      <c r="DQ22" s="87">
        <v>0</v>
      </c>
      <c r="DR22" s="94">
        <v>11721.000000000002</v>
      </c>
      <c r="DS22" s="94">
        <v>10419.100000000008</v>
      </c>
      <c r="DT22" s="94">
        <v>10938.300000000037</v>
      </c>
      <c r="DU22" s="94">
        <v>9981.3000000000029</v>
      </c>
      <c r="DV22" s="94">
        <v>8846.7999999999756</v>
      </c>
      <c r="DW22" s="94">
        <v>6877.8999999999869</v>
      </c>
      <c r="DX22" s="94">
        <v>5653.7000000000116</v>
      </c>
      <c r="DY22" s="94">
        <v>5315.9999999999982</v>
      </c>
      <c r="DZ22" s="94">
        <v>5683.1000000000031</v>
      </c>
      <c r="EA22" s="94">
        <v>7627.1999999999989</v>
      </c>
      <c r="EB22" s="94">
        <v>9608.8999999999814</v>
      </c>
      <c r="EC22" s="94">
        <v>11226.699999999995</v>
      </c>
      <c r="ED22" s="224" t="s">
        <v>296</v>
      </c>
      <c r="EE22" s="542">
        <v>7.2</v>
      </c>
      <c r="EF22" s="542">
        <v>11.8</v>
      </c>
      <c r="EG22" s="542">
        <v>18.399999999999999</v>
      </c>
      <c r="EH22" s="542">
        <v>28.3</v>
      </c>
      <c r="EI22" s="542">
        <v>60.2</v>
      </c>
      <c r="EJ22" s="542">
        <v>75.900000000000006</v>
      </c>
      <c r="EK22" s="542">
        <v>75.900000000000006</v>
      </c>
      <c r="EL22" s="545">
        <v>6</v>
      </c>
      <c r="EM22" s="545">
        <v>9.8000000000000007</v>
      </c>
      <c r="EN22" s="545">
        <v>15.1</v>
      </c>
      <c r="EO22" s="545">
        <v>23.2</v>
      </c>
      <c r="EP22" s="545">
        <v>48</v>
      </c>
      <c r="EQ22" s="545">
        <v>57.6</v>
      </c>
      <c r="ER22" s="545">
        <v>57.6</v>
      </c>
      <c r="ES22" s="533">
        <v>17.8</v>
      </c>
      <c r="ET22" s="533">
        <v>13</v>
      </c>
      <c r="EU22" s="537">
        <v>27.9</v>
      </c>
      <c r="EV22" s="537">
        <v>20.399999999999999</v>
      </c>
      <c r="EW22" s="540">
        <v>6.8</v>
      </c>
      <c r="EX22" s="540">
        <v>4.9000000000000004</v>
      </c>
    </row>
    <row r="23" spans="1:154" hidden="1">
      <c r="A23" s="345" t="s">
        <v>327</v>
      </c>
      <c r="B23" s="96">
        <v>17.455870967741937</v>
      </c>
      <c r="C23" s="97">
        <v>17.553000000000001</v>
      </c>
      <c r="D23" s="97">
        <v>18.28296774193549</v>
      </c>
      <c r="E23" s="97">
        <v>18.648266666666668</v>
      </c>
      <c r="F23" s="97">
        <v>19.803225806451611</v>
      </c>
      <c r="G23" s="97">
        <v>21.344933333333326</v>
      </c>
      <c r="H23" s="97">
        <v>23.192258064516121</v>
      </c>
      <c r="I23" s="97">
        <v>23.943096774193549</v>
      </c>
      <c r="J23" s="97">
        <v>23.803466666666665</v>
      </c>
      <c r="K23" s="97">
        <v>22.437290322580647</v>
      </c>
      <c r="L23" s="97">
        <v>20.356266666666667</v>
      </c>
      <c r="M23" s="100">
        <v>18.258430107526884</v>
      </c>
      <c r="N23" s="106">
        <v>20.13</v>
      </c>
      <c r="O23" s="106">
        <v>18.690000000000001</v>
      </c>
      <c r="P23" s="106">
        <v>17.809999999999999</v>
      </c>
      <c r="Q23" s="106">
        <v>17.54</v>
      </c>
      <c r="R23" s="106">
        <v>18.07</v>
      </c>
      <c r="S23" s="106">
        <v>19.27</v>
      </c>
      <c r="T23" s="106">
        <v>20.75</v>
      </c>
      <c r="U23" s="106">
        <v>22.2</v>
      </c>
      <c r="V23" s="106">
        <v>23.18</v>
      </c>
      <c r="W23" s="106">
        <v>23.41</v>
      </c>
      <c r="X23" s="106">
        <v>22.84</v>
      </c>
      <c r="Y23" s="106">
        <v>21.67</v>
      </c>
      <c r="Z23" s="102">
        <v>3717.2903225806454</v>
      </c>
      <c r="AA23" s="4">
        <v>4431.1428571428569</v>
      </c>
      <c r="AB23" s="4">
        <v>5338.8387096774195</v>
      </c>
      <c r="AC23" s="4">
        <v>6126.0666666666666</v>
      </c>
      <c r="AD23" s="4">
        <v>6613.4516129032254</v>
      </c>
      <c r="AE23" s="4">
        <v>6736.2666666666664</v>
      </c>
      <c r="AF23" s="4">
        <v>6743.1935483870966</v>
      </c>
      <c r="AG23" s="4">
        <v>6349.5161290322585</v>
      </c>
      <c r="AH23" s="4">
        <v>5676.2</v>
      </c>
      <c r="AI23" s="4">
        <v>4761.6451612903229</v>
      </c>
      <c r="AJ23" s="4">
        <v>3910.9</v>
      </c>
      <c r="AK23" s="23">
        <v>3458.3225806451615</v>
      </c>
      <c r="AL23" s="29">
        <v>4744.0236066007865</v>
      </c>
      <c r="AM23" s="6">
        <v>4327.0517162092983</v>
      </c>
      <c r="AN23" s="6">
        <v>3627.4464537442745</v>
      </c>
      <c r="AO23" s="6">
        <v>2680.7797651885198</v>
      </c>
      <c r="AP23" s="6">
        <v>2120.2015673908659</v>
      </c>
      <c r="AQ23" s="6">
        <v>1936.9862894303942</v>
      </c>
      <c r="AR23" s="6">
        <v>2006.6199185553369</v>
      </c>
      <c r="AS23" s="6">
        <v>2404.5751952599085</v>
      </c>
      <c r="AT23" s="6">
        <v>3234.8775526978188</v>
      </c>
      <c r="AU23" s="6">
        <v>4173.6236054162528</v>
      </c>
      <c r="AV23" s="6">
        <v>4676.4659653757708</v>
      </c>
      <c r="AW23" s="30">
        <v>4725.0335618193531</v>
      </c>
      <c r="AX23" s="39">
        <v>3897.5979649426713</v>
      </c>
      <c r="AY23" s="8">
        <v>3886.0314113015756</v>
      </c>
      <c r="AZ23" s="8">
        <v>3833.5467221309632</v>
      </c>
      <c r="BA23" s="8">
        <v>3580.7734369976893</v>
      </c>
      <c r="BB23" s="8">
        <v>3289.9231415380032</v>
      </c>
      <c r="BC23" s="8">
        <v>3108.9144714131285</v>
      </c>
      <c r="BD23" s="8">
        <v>3209.5030923440509</v>
      </c>
      <c r="BE23" s="8">
        <v>3461.7971705305399</v>
      </c>
      <c r="BF23" s="8">
        <v>3757.7671879475261</v>
      </c>
      <c r="BG23" s="8">
        <v>3919.3302760475685</v>
      </c>
      <c r="BH23" s="8">
        <v>3918.0980644926017</v>
      </c>
      <c r="BI23" s="40">
        <v>3809.3972660913323</v>
      </c>
      <c r="BJ23" s="49">
        <v>2594.8057579142246</v>
      </c>
      <c r="BK23" s="10">
        <v>2987.4422409729286</v>
      </c>
      <c r="BL23" s="10">
        <v>3469.0630378186866</v>
      </c>
      <c r="BM23" s="10">
        <v>3837.2323575688533</v>
      </c>
      <c r="BN23" s="10">
        <v>4030.1639993152371</v>
      </c>
      <c r="BO23" s="10">
        <v>4053.1570026609647</v>
      </c>
      <c r="BP23" s="10">
        <v>4080.6267849599371</v>
      </c>
      <c r="BQ23" s="10">
        <v>3931.046163143882</v>
      </c>
      <c r="BR23" s="10">
        <v>3636.050940456314</v>
      </c>
      <c r="BS23" s="10">
        <v>3174.2348103174036</v>
      </c>
      <c r="BT23" s="10">
        <v>2706.4245953713094</v>
      </c>
      <c r="BU23" s="50">
        <v>2436.5313349944695</v>
      </c>
      <c r="BV23" s="57">
        <v>951.78338242597113</v>
      </c>
      <c r="BW23" s="12">
        <v>1151.1288622776542</v>
      </c>
      <c r="BX23" s="12">
        <v>1389.5655304440345</v>
      </c>
      <c r="BY23" s="12">
        <v>1611.1280668161562</v>
      </c>
      <c r="BZ23" s="12">
        <v>1747.0778245987829</v>
      </c>
      <c r="CA23" s="12">
        <v>1794.3759560774472</v>
      </c>
      <c r="CB23" s="12">
        <v>1766.8012262431928</v>
      </c>
      <c r="CC23" s="12">
        <v>1658.8090208297901</v>
      </c>
      <c r="CD23" s="12">
        <v>1466.3022134762739</v>
      </c>
      <c r="CE23" s="12">
        <v>1218.8892134432951</v>
      </c>
      <c r="CF23" s="12">
        <v>997.1696898489248</v>
      </c>
      <c r="CG23" s="63">
        <v>892.97538270988662</v>
      </c>
      <c r="CH23" s="71">
        <v>1495.3000000000009</v>
      </c>
      <c r="CI23" s="71">
        <v>1384.5999999999988</v>
      </c>
      <c r="CJ23" s="71">
        <v>1188.1000000000017</v>
      </c>
      <c r="CK23" s="71">
        <v>911.39999999999884</v>
      </c>
      <c r="CL23" s="71">
        <v>539.70000000000061</v>
      </c>
      <c r="CM23" s="71">
        <v>137.99999999999983</v>
      </c>
      <c r="CN23" s="71">
        <v>8.3000000000000007</v>
      </c>
      <c r="CO23" s="71">
        <v>18.400000000000006</v>
      </c>
      <c r="CP23" s="71">
        <v>11.700000000000014</v>
      </c>
      <c r="CQ23" s="71">
        <v>55.400000000000055</v>
      </c>
      <c r="CR23" s="71">
        <v>327.09999999999957</v>
      </c>
      <c r="CS23" s="71">
        <v>1270.9999999999984</v>
      </c>
      <c r="CT23" s="79">
        <v>379.79999999999978</v>
      </c>
      <c r="CU23" s="79">
        <v>443.99999999999989</v>
      </c>
      <c r="CV23" s="79">
        <v>698.90000000000055</v>
      </c>
      <c r="CW23" s="79">
        <v>697.49999999999966</v>
      </c>
      <c r="CX23" s="79">
        <v>1178.2</v>
      </c>
      <c r="CY23" s="79">
        <v>1869.5000000000014</v>
      </c>
      <c r="CZ23" s="79">
        <v>3169.6000000000004</v>
      </c>
      <c r="DA23" s="79">
        <v>3737.5000000000045</v>
      </c>
      <c r="DB23" s="79">
        <v>3515.9000000000033</v>
      </c>
      <c r="DC23" s="79">
        <v>2653.3999999999987</v>
      </c>
      <c r="DD23" s="79">
        <v>1342.0999999999992</v>
      </c>
      <c r="DE23" s="79">
        <v>757.00000000000057</v>
      </c>
      <c r="DF23" s="87">
        <v>0</v>
      </c>
      <c r="DG23" s="87">
        <v>1.8000000000000043</v>
      </c>
      <c r="DH23" s="87">
        <v>2.8000000000000007</v>
      </c>
      <c r="DI23" s="87">
        <v>0</v>
      </c>
      <c r="DJ23" s="87">
        <v>3.5</v>
      </c>
      <c r="DK23" s="87">
        <v>35.9</v>
      </c>
      <c r="DL23" s="87">
        <v>198.00000000000003</v>
      </c>
      <c r="DM23" s="87">
        <v>232.1</v>
      </c>
      <c r="DN23" s="87">
        <v>225.4</v>
      </c>
      <c r="DO23" s="87">
        <v>96.5</v>
      </c>
      <c r="DP23" s="87">
        <v>30.600000000000005</v>
      </c>
      <c r="DQ23" s="87">
        <v>0</v>
      </c>
      <c r="DR23" s="94">
        <v>6323.4999999999973</v>
      </c>
      <c r="DS23" s="94">
        <v>5646.4000000000124</v>
      </c>
      <c r="DT23" s="94">
        <v>5700.0000000000009</v>
      </c>
      <c r="DU23" s="94">
        <v>5253.8999999999969</v>
      </c>
      <c r="DV23" s="94">
        <v>4573.0000000000045</v>
      </c>
      <c r="DW23" s="94">
        <v>3344.4000000000069</v>
      </c>
      <c r="DX23" s="94">
        <v>2244.6999999999966</v>
      </c>
      <c r="DY23" s="94">
        <v>1720.9999999999984</v>
      </c>
      <c r="DZ23" s="94">
        <v>1761.2</v>
      </c>
      <c r="EA23" s="94">
        <v>2706.4999999999973</v>
      </c>
      <c r="EB23" s="94">
        <v>4055.5999999999963</v>
      </c>
      <c r="EC23" s="94">
        <v>5722.0000000000073</v>
      </c>
      <c r="ED23" s="224" t="s">
        <v>344</v>
      </c>
      <c r="EE23" s="542">
        <v>3.5</v>
      </c>
      <c r="EF23" s="542">
        <v>6.6</v>
      </c>
      <c r="EG23" s="542">
        <v>11.2</v>
      </c>
      <c r="EH23" s="542">
        <v>17.899999999999999</v>
      </c>
      <c r="EI23" s="542">
        <v>19.649999999999999</v>
      </c>
      <c r="EJ23" s="542">
        <v>21.4</v>
      </c>
      <c r="EK23" s="542">
        <v>21.4</v>
      </c>
      <c r="EL23" s="545">
        <v>2.1</v>
      </c>
      <c r="EM23" s="545">
        <v>3.9</v>
      </c>
      <c r="EN23" s="545">
        <v>6.6</v>
      </c>
      <c r="EO23" s="545">
        <v>10.7</v>
      </c>
      <c r="EP23" s="545">
        <v>12.7</v>
      </c>
      <c r="EQ23" s="545">
        <v>14.4</v>
      </c>
      <c r="ER23" s="545">
        <v>14.4</v>
      </c>
      <c r="ES23" s="533">
        <v>16.2</v>
      </c>
      <c r="ET23" s="533">
        <v>11.8</v>
      </c>
      <c r="EU23" s="537">
        <v>26.7</v>
      </c>
      <c r="EV23" s="537">
        <v>19.5</v>
      </c>
      <c r="EW23" s="540">
        <v>7.3</v>
      </c>
      <c r="EX23" s="540">
        <v>5.3</v>
      </c>
    </row>
    <row r="24" spans="1:154" hidden="1">
      <c r="A24" s="345" t="s">
        <v>328</v>
      </c>
      <c r="B24" s="96">
        <v>3.0465806451612902</v>
      </c>
      <c r="C24" s="97">
        <v>4.371142857142857</v>
      </c>
      <c r="D24" s="97">
        <v>6.4981935483870963</v>
      </c>
      <c r="E24" s="97">
        <v>8.4514666666666649</v>
      </c>
      <c r="F24" s="97">
        <v>11.979741935483871</v>
      </c>
      <c r="G24" s="97">
        <v>16.213999999999995</v>
      </c>
      <c r="H24" s="97">
        <v>19.498838709677422</v>
      </c>
      <c r="I24" s="97">
        <v>18.957548387096775</v>
      </c>
      <c r="J24" s="97">
        <v>16.625733333333333</v>
      </c>
      <c r="K24" s="97">
        <v>11.663354838709676</v>
      </c>
      <c r="L24" s="97">
        <v>6.7414666666666658</v>
      </c>
      <c r="M24" s="100">
        <v>3.7710161290322586</v>
      </c>
      <c r="N24" s="106">
        <v>12.56</v>
      </c>
      <c r="O24" s="106">
        <v>8.6</v>
      </c>
      <c r="P24" s="106">
        <v>5.51</v>
      </c>
      <c r="Q24" s="106">
        <v>3.95</v>
      </c>
      <c r="R24" s="106">
        <v>3.48</v>
      </c>
      <c r="S24" s="106">
        <v>5.44</v>
      </c>
      <c r="T24" s="106">
        <v>8.76</v>
      </c>
      <c r="U24" s="106">
        <v>12.71</v>
      </c>
      <c r="V24" s="106">
        <v>16.12</v>
      </c>
      <c r="W24" s="106">
        <v>18.010000000000002</v>
      </c>
      <c r="X24" s="106">
        <v>17.96</v>
      </c>
      <c r="Y24" s="106">
        <v>16.010000000000002</v>
      </c>
      <c r="Z24" s="102">
        <v>1766.5806451612902</v>
      </c>
      <c r="AA24" s="4">
        <v>2560.25</v>
      </c>
      <c r="AB24" s="4">
        <v>3751.1612903225805</v>
      </c>
      <c r="AC24" s="4">
        <v>4785.6000000000004</v>
      </c>
      <c r="AD24" s="4">
        <v>5784.1290322580644</v>
      </c>
      <c r="AE24" s="4">
        <v>6568.0666666666666</v>
      </c>
      <c r="AF24" s="4">
        <v>7074.8709677419356</v>
      </c>
      <c r="AG24" s="4">
        <v>6242.5483870967746</v>
      </c>
      <c r="AH24" s="4">
        <v>4545.7333333333336</v>
      </c>
      <c r="AI24" s="4">
        <v>3055.6774193548385</v>
      </c>
      <c r="AJ24" s="4">
        <v>2036.2333333333333</v>
      </c>
      <c r="AK24" s="23">
        <v>1533.9032258064517</v>
      </c>
      <c r="AL24" s="29">
        <v>3231.7726990278043</v>
      </c>
      <c r="AM24" s="6">
        <v>3443.4580058815259</v>
      </c>
      <c r="AN24" s="6">
        <v>3504.8620567487305</v>
      </c>
      <c r="AO24" s="6">
        <v>2981.298290878171</v>
      </c>
      <c r="AP24" s="6">
        <v>2739.2409967702561</v>
      </c>
      <c r="AQ24" s="6">
        <v>2717.5191478208899</v>
      </c>
      <c r="AR24" s="6">
        <v>2985.2377547460728</v>
      </c>
      <c r="AS24" s="6">
        <v>3397.3483223964663</v>
      </c>
      <c r="AT24" s="6">
        <v>3655.7386890470862</v>
      </c>
      <c r="AU24" s="6">
        <v>3726.7956227834675</v>
      </c>
      <c r="AV24" s="6">
        <v>3502.7094807092144</v>
      </c>
      <c r="AW24" s="30">
        <v>3049.8217645251534</v>
      </c>
      <c r="AX24" s="39">
        <v>2523.6441077839795</v>
      </c>
      <c r="AY24" s="8">
        <v>2891.998673499244</v>
      </c>
      <c r="AZ24" s="8">
        <v>3345.3269110020528</v>
      </c>
      <c r="BA24" s="8">
        <v>3363.2046985154711</v>
      </c>
      <c r="BB24" s="8">
        <v>3429.91030093052</v>
      </c>
      <c r="BC24" s="8">
        <v>3578.5799013359542</v>
      </c>
      <c r="BD24" s="8">
        <v>3981.0731187140277</v>
      </c>
      <c r="BE24" s="8">
        <v>4130.8345256754201</v>
      </c>
      <c r="BF24" s="8">
        <v>3747.0163526778902</v>
      </c>
      <c r="BG24" s="8">
        <v>3236.1628583638053</v>
      </c>
      <c r="BH24" s="8">
        <v>2772.5315562648725</v>
      </c>
      <c r="BI24" s="40">
        <v>2346.3986416883063</v>
      </c>
      <c r="BJ24" s="49">
        <v>1436.557269491914</v>
      </c>
      <c r="BK24" s="10">
        <v>1955.6681911604323</v>
      </c>
      <c r="BL24" s="10">
        <v>2697.5547132816796</v>
      </c>
      <c r="BM24" s="10">
        <v>3229.5668500948527</v>
      </c>
      <c r="BN24" s="10">
        <v>3745.9461162592861</v>
      </c>
      <c r="BO24" s="10">
        <v>4183.9741206799263</v>
      </c>
      <c r="BP24" s="10">
        <v>4573.7404377330149</v>
      </c>
      <c r="BQ24" s="10">
        <v>4199.6278826386751</v>
      </c>
      <c r="BR24" s="10">
        <v>3218.424830057591</v>
      </c>
      <c r="BS24" s="10">
        <v>2303.7100698493446</v>
      </c>
      <c r="BT24" s="10">
        <v>1639.9580122226059</v>
      </c>
      <c r="BU24" s="50">
        <v>1268.8339407907665</v>
      </c>
      <c r="BV24" s="57">
        <v>541.13353514724383</v>
      </c>
      <c r="BW24" s="12">
        <v>775.65519709030173</v>
      </c>
      <c r="BX24" s="12">
        <v>1102.6378158776399</v>
      </c>
      <c r="BY24" s="12">
        <v>1445.391336092008</v>
      </c>
      <c r="BZ24" s="12">
        <v>1720.3999147425006</v>
      </c>
      <c r="CA24" s="12">
        <v>1853.684618280025</v>
      </c>
      <c r="CB24" s="12">
        <v>1800.7637976223195</v>
      </c>
      <c r="CC24" s="12">
        <v>1580.4384691398589</v>
      </c>
      <c r="CD24" s="12">
        <v>1245.7654010256688</v>
      </c>
      <c r="CE24" s="12">
        <v>881.07423825974263</v>
      </c>
      <c r="CF24" s="12">
        <v>602.7667813768611</v>
      </c>
      <c r="CG24" s="63">
        <v>476.81830668885243</v>
      </c>
      <c r="CH24" s="71">
        <v>11833.500000000004</v>
      </c>
      <c r="CI24" s="71">
        <v>9792.1000000000076</v>
      </c>
      <c r="CJ24" s="71">
        <v>9234.6999999999989</v>
      </c>
      <c r="CK24" s="71">
        <v>7522.4000000000005</v>
      </c>
      <c r="CL24" s="71">
        <v>5263.3999999999978</v>
      </c>
      <c r="CM24" s="71">
        <v>2742.0000000000005</v>
      </c>
      <c r="CN24" s="71">
        <v>1549.8999999999992</v>
      </c>
      <c r="CO24" s="71">
        <v>1793.8999999999992</v>
      </c>
      <c r="CP24" s="71">
        <v>2445.1999999999989</v>
      </c>
      <c r="CQ24" s="71">
        <v>5399.2000000000025</v>
      </c>
      <c r="CR24" s="71">
        <v>8781.2000000000007</v>
      </c>
      <c r="CS24" s="71">
        <v>11294.900000000001</v>
      </c>
      <c r="CT24" s="79">
        <v>0</v>
      </c>
      <c r="CU24" s="79">
        <v>0</v>
      </c>
      <c r="CV24" s="79">
        <v>0</v>
      </c>
      <c r="CW24" s="79">
        <v>0</v>
      </c>
      <c r="CX24" s="79">
        <v>129.60000000000002</v>
      </c>
      <c r="CY24" s="79">
        <v>837.00000000000023</v>
      </c>
      <c r="CZ24" s="79">
        <v>2032.6999999999998</v>
      </c>
      <c r="DA24" s="79">
        <v>1868.9000000000005</v>
      </c>
      <c r="DB24" s="79">
        <v>823.49999999999989</v>
      </c>
      <c r="DC24" s="79">
        <v>7.3999999999999915</v>
      </c>
      <c r="DD24" s="79">
        <v>0</v>
      </c>
      <c r="DE24" s="79">
        <v>0</v>
      </c>
      <c r="DF24" s="87">
        <v>0</v>
      </c>
      <c r="DG24" s="87">
        <v>0</v>
      </c>
      <c r="DH24" s="87">
        <v>0</v>
      </c>
      <c r="DI24" s="87">
        <v>0</v>
      </c>
      <c r="DJ24" s="87">
        <v>0</v>
      </c>
      <c r="DK24" s="87">
        <v>18.70000000000001</v>
      </c>
      <c r="DL24" s="87">
        <v>281.20000000000005</v>
      </c>
      <c r="DM24" s="87">
        <v>265.49999999999977</v>
      </c>
      <c r="DN24" s="87">
        <v>13.200000000000003</v>
      </c>
      <c r="DO24" s="87">
        <v>0</v>
      </c>
      <c r="DP24" s="87">
        <v>0</v>
      </c>
      <c r="DQ24" s="87">
        <v>0</v>
      </c>
      <c r="DR24" s="94">
        <v>17041.499999999989</v>
      </c>
      <c r="DS24" s="94">
        <v>14496.100000000008</v>
      </c>
      <c r="DT24" s="94">
        <v>14442.699999999995</v>
      </c>
      <c r="DU24" s="94">
        <v>12562.399999999989</v>
      </c>
      <c r="DV24" s="94">
        <v>10341.799999999996</v>
      </c>
      <c r="DW24" s="94">
        <v>6963.6999999999953</v>
      </c>
      <c r="DX24" s="94">
        <v>5006.4000000000042</v>
      </c>
      <c r="DY24" s="94">
        <v>5398.5000000000018</v>
      </c>
      <c r="DZ24" s="94">
        <v>6674.9000000000087</v>
      </c>
      <c r="EA24" s="94">
        <v>10599.800000000007</v>
      </c>
      <c r="EB24" s="94">
        <v>13821.199999999997</v>
      </c>
      <c r="EC24" s="94">
        <v>16502.899999999998</v>
      </c>
      <c r="ED24" s="224" t="s">
        <v>294</v>
      </c>
      <c r="EE24" s="542">
        <v>14.1</v>
      </c>
      <c r="EF24" s="542">
        <v>21.5</v>
      </c>
      <c r="EG24" s="542">
        <v>32.1</v>
      </c>
      <c r="EH24" s="542">
        <v>48.1</v>
      </c>
      <c r="EI24" s="542">
        <v>114</v>
      </c>
      <c r="EJ24" s="542">
        <v>133.4</v>
      </c>
      <c r="EK24" s="542">
        <v>133.4</v>
      </c>
      <c r="EL24" s="545">
        <v>11.6</v>
      </c>
      <c r="EM24" s="545">
        <v>17.899999999999999</v>
      </c>
      <c r="EN24" s="545">
        <v>26.7</v>
      </c>
      <c r="EO24" s="545">
        <v>39.700000000000003</v>
      </c>
      <c r="EP24" s="545">
        <v>74.099999999999994</v>
      </c>
      <c r="EQ24" s="545">
        <v>86.7</v>
      </c>
      <c r="ER24" s="545">
        <v>86.7</v>
      </c>
      <c r="ES24" s="533">
        <v>18.600000000000001</v>
      </c>
      <c r="ET24" s="533">
        <v>13.6</v>
      </c>
      <c r="EU24" s="537">
        <v>29.2</v>
      </c>
      <c r="EV24" s="537">
        <v>21.4</v>
      </c>
      <c r="EW24" s="540">
        <v>7.1</v>
      </c>
      <c r="EX24" s="540">
        <v>5.2</v>
      </c>
    </row>
    <row r="25" spans="1:154" hidden="1">
      <c r="A25" s="345" t="s">
        <v>311</v>
      </c>
      <c r="B25" s="96">
        <v>5.4550967741935468</v>
      </c>
      <c r="C25" s="97">
        <v>7.7212857142857132</v>
      </c>
      <c r="D25" s="97">
        <v>10.21354838709677</v>
      </c>
      <c r="E25" s="97">
        <v>12.917733333333333</v>
      </c>
      <c r="F25" s="97">
        <v>16.964129032258061</v>
      </c>
      <c r="G25" s="97">
        <v>21.0472</v>
      </c>
      <c r="H25" s="97">
        <v>24.419999999999991</v>
      </c>
      <c r="I25" s="97">
        <v>23.851999999999997</v>
      </c>
      <c r="J25" s="97">
        <v>20.966533333333334</v>
      </c>
      <c r="K25" s="97">
        <v>15.605548387096778</v>
      </c>
      <c r="L25" s="97">
        <v>9.1105333333333327</v>
      </c>
      <c r="M25" s="100">
        <v>5.6973172043010747</v>
      </c>
      <c r="N25" s="106">
        <v>6.78</v>
      </c>
      <c r="O25" s="106">
        <v>6.01</v>
      </c>
      <c r="P25" s="106">
        <v>7.37</v>
      </c>
      <c r="Q25" s="106">
        <v>9.51</v>
      </c>
      <c r="R25" s="106">
        <v>15.1</v>
      </c>
      <c r="S25" s="106">
        <v>19.420000000000002</v>
      </c>
      <c r="T25" s="106">
        <v>22.33</v>
      </c>
      <c r="U25" s="106">
        <v>23.21</v>
      </c>
      <c r="V25" s="106">
        <v>21.7</v>
      </c>
      <c r="W25" s="106">
        <v>18.350000000000001</v>
      </c>
      <c r="X25" s="106">
        <v>13.88</v>
      </c>
      <c r="Y25" s="106">
        <v>9.7200000000000006</v>
      </c>
      <c r="Z25" s="102">
        <v>1840.3870967741937</v>
      </c>
      <c r="AA25" s="4">
        <v>2950.8214285714284</v>
      </c>
      <c r="AB25" s="4">
        <v>4277.4193548387093</v>
      </c>
      <c r="AC25" s="4">
        <v>5442</v>
      </c>
      <c r="AD25" s="4">
        <v>6480.9032258064517</v>
      </c>
      <c r="AE25" s="4">
        <v>7186.3666666666668</v>
      </c>
      <c r="AF25" s="4">
        <v>7378.8387096774195</v>
      </c>
      <c r="AG25" s="4">
        <v>6493.7096774193551</v>
      </c>
      <c r="AH25" s="4">
        <v>5087.9666666666662</v>
      </c>
      <c r="AI25" s="4">
        <v>3487</v>
      </c>
      <c r="AJ25" s="4">
        <v>2200.6333333333332</v>
      </c>
      <c r="AK25" s="23">
        <v>1676.7741935483871</v>
      </c>
      <c r="AL25" s="29">
        <v>3244.8513374915492</v>
      </c>
      <c r="AM25" s="6">
        <v>4035.157280499142</v>
      </c>
      <c r="AN25" s="6">
        <v>4023.4347999239794</v>
      </c>
      <c r="AO25" s="6">
        <v>3330.0367240061273</v>
      </c>
      <c r="AP25" s="6">
        <v>2930.318015990526</v>
      </c>
      <c r="AQ25" s="6">
        <v>2810.6075756889809</v>
      </c>
      <c r="AR25" s="6">
        <v>2997.9633847446667</v>
      </c>
      <c r="AS25" s="6">
        <v>3443.094551131358</v>
      </c>
      <c r="AT25" s="6">
        <v>4072.8177895454896</v>
      </c>
      <c r="AU25" s="6">
        <v>4305.4031200059744</v>
      </c>
      <c r="AV25" s="6">
        <v>3724.3508238509235</v>
      </c>
      <c r="AW25" s="30">
        <v>3271.7036205270206</v>
      </c>
      <c r="AX25" s="39">
        <v>2545.4837399646176</v>
      </c>
      <c r="AY25" s="8">
        <v>3381.6404383538584</v>
      </c>
      <c r="AZ25" s="8">
        <v>3851.3850948234258</v>
      </c>
      <c r="BA25" s="8">
        <v>3823.8623635935883</v>
      </c>
      <c r="BB25" s="8">
        <v>3793.33602254575</v>
      </c>
      <c r="BC25" s="8">
        <v>3842.5746694362961</v>
      </c>
      <c r="BD25" s="8">
        <v>4092.3623219568631</v>
      </c>
      <c r="BE25" s="8">
        <v>4246.7341740352313</v>
      </c>
      <c r="BF25" s="8">
        <v>4206.6239944327372</v>
      </c>
      <c r="BG25" s="8">
        <v>3735.553501885297</v>
      </c>
      <c r="BH25" s="8">
        <v>2953.7578122194009</v>
      </c>
      <c r="BI25" s="40">
        <v>2521.2763057834668</v>
      </c>
      <c r="BJ25" s="49">
        <v>1472.8922297140482</v>
      </c>
      <c r="BK25" s="10">
        <v>2265.3779661158424</v>
      </c>
      <c r="BL25" s="10">
        <v>3089.2569419254469</v>
      </c>
      <c r="BM25" s="10">
        <v>3684.2546333786331</v>
      </c>
      <c r="BN25" s="10">
        <v>4200.1730216853321</v>
      </c>
      <c r="BO25" s="10">
        <v>4572.146891986381</v>
      </c>
      <c r="BP25" s="10">
        <v>4752.4860177425626</v>
      </c>
      <c r="BQ25" s="10">
        <v>4348.8368913215754</v>
      </c>
      <c r="BR25" s="10">
        <v>3609.7926747031665</v>
      </c>
      <c r="BS25" s="10">
        <v>2639.3900267282092</v>
      </c>
      <c r="BT25" s="10">
        <v>1757.9854045931531</v>
      </c>
      <c r="BU25" s="50">
        <v>1374.5523885238488</v>
      </c>
      <c r="BV25" s="57">
        <v>565.02678594280212</v>
      </c>
      <c r="BW25" s="12">
        <v>820.40420013553853</v>
      </c>
      <c r="BX25" s="12">
        <v>1143.1190778762632</v>
      </c>
      <c r="BY25" s="12">
        <v>1486.3693372758989</v>
      </c>
      <c r="BZ25" s="12">
        <v>1747.0174063094498</v>
      </c>
      <c r="CA25" s="12">
        <v>1858.7919620279758</v>
      </c>
      <c r="CB25" s="12">
        <v>1794.3153695771455</v>
      </c>
      <c r="CC25" s="12">
        <v>1584.7863007128115</v>
      </c>
      <c r="CD25" s="12">
        <v>1268.7267287461939</v>
      </c>
      <c r="CE25" s="12">
        <v>919.04032931090717</v>
      </c>
      <c r="CF25" s="12">
        <v>633.38980053661635</v>
      </c>
      <c r="CG25" s="63">
        <v>507.50791629187972</v>
      </c>
      <c r="CH25" s="71">
        <v>10037.800000000012</v>
      </c>
      <c r="CI25" s="71">
        <v>7527.9999999999982</v>
      </c>
      <c r="CJ25" s="71">
        <v>6496.2000000000007</v>
      </c>
      <c r="CK25" s="71">
        <v>4484.7999999999956</v>
      </c>
      <c r="CL25" s="71">
        <v>2378.7999999999975</v>
      </c>
      <c r="CM25" s="71">
        <v>741.49999999999989</v>
      </c>
      <c r="CN25" s="71">
        <v>194.7</v>
      </c>
      <c r="CO25" s="71">
        <v>88.000000000000085</v>
      </c>
      <c r="CP25" s="71">
        <v>706.10000000000093</v>
      </c>
      <c r="CQ25" s="71">
        <v>2926.3000000000029</v>
      </c>
      <c r="CR25" s="71">
        <v>7078.7999999999975</v>
      </c>
      <c r="CS25" s="71">
        <v>9858.3000000000102</v>
      </c>
      <c r="CT25" s="79">
        <v>0</v>
      </c>
      <c r="CU25" s="79">
        <v>0</v>
      </c>
      <c r="CV25" s="79">
        <v>29.200000000000006</v>
      </c>
      <c r="CW25" s="79">
        <v>188</v>
      </c>
      <c r="CX25" s="79">
        <v>960.8000000000003</v>
      </c>
      <c r="CY25" s="79">
        <v>2313.0000000000018</v>
      </c>
      <c r="CZ25" s="79">
        <v>4332.9999999999982</v>
      </c>
      <c r="DA25" s="79">
        <v>3795.3999999999978</v>
      </c>
      <c r="DB25" s="79">
        <v>2210.5</v>
      </c>
      <c r="DC25" s="79">
        <v>475.30000000000007</v>
      </c>
      <c r="DD25" s="79">
        <v>10.200000000000003</v>
      </c>
      <c r="DE25" s="79">
        <v>0</v>
      </c>
      <c r="DF25" s="87">
        <v>0</v>
      </c>
      <c r="DG25" s="87">
        <v>0</v>
      </c>
      <c r="DH25" s="87">
        <v>0</v>
      </c>
      <c r="DI25" s="87">
        <v>0</v>
      </c>
      <c r="DJ25" s="87">
        <v>32.6</v>
      </c>
      <c r="DK25" s="87">
        <v>332.00000000000017</v>
      </c>
      <c r="DL25" s="87">
        <v>1172.6000000000006</v>
      </c>
      <c r="DM25" s="87">
        <v>855.9</v>
      </c>
      <c r="DN25" s="87">
        <v>343.69999999999993</v>
      </c>
      <c r="DO25" s="87">
        <v>6.5</v>
      </c>
      <c r="DP25" s="87">
        <v>0</v>
      </c>
      <c r="DQ25" s="87">
        <v>0</v>
      </c>
      <c r="DR25" s="94">
        <v>15245.800000000017</v>
      </c>
      <c r="DS25" s="94">
        <v>12232</v>
      </c>
      <c r="DT25" s="94">
        <v>11675.000000000009</v>
      </c>
      <c r="DU25" s="94">
        <v>9336.7999999999847</v>
      </c>
      <c r="DV25" s="94">
        <v>6658.6000000000022</v>
      </c>
      <c r="DW25" s="94">
        <v>3800.5000000000009</v>
      </c>
      <c r="DX25" s="94">
        <v>2242.2999999999997</v>
      </c>
      <c r="DY25" s="94">
        <v>2356.4999999999977</v>
      </c>
      <c r="DZ25" s="94">
        <v>3879.299999999997</v>
      </c>
      <c r="EA25" s="94">
        <v>7665.4999999999936</v>
      </c>
      <c r="EB25" s="94">
        <v>12108.600000000011</v>
      </c>
      <c r="EC25" s="94">
        <v>15066.300000000012</v>
      </c>
      <c r="ED25" s="224" t="s">
        <v>151</v>
      </c>
      <c r="EE25" s="542">
        <v>9.8000000000000007</v>
      </c>
      <c r="EF25" s="542">
        <v>16</v>
      </c>
      <c r="EG25" s="542">
        <v>24.9</v>
      </c>
      <c r="EH25" s="542">
        <v>38.200000000000003</v>
      </c>
      <c r="EI25" s="542">
        <v>74.3</v>
      </c>
      <c r="EJ25" s="542">
        <v>89.2</v>
      </c>
      <c r="EK25" s="542">
        <v>89.2</v>
      </c>
      <c r="EL25" s="545">
        <v>7.6</v>
      </c>
      <c r="EM25" s="545">
        <v>12.4</v>
      </c>
      <c r="EN25" s="545">
        <v>19.3</v>
      </c>
      <c r="EO25" s="545">
        <v>29.6</v>
      </c>
      <c r="EP25" s="545">
        <v>60.9</v>
      </c>
      <c r="EQ25" s="545">
        <v>73.099999999999994</v>
      </c>
      <c r="ER25" s="545">
        <v>73.099999999999994</v>
      </c>
      <c r="ES25" s="533">
        <v>17.7</v>
      </c>
      <c r="ET25" s="533">
        <v>13</v>
      </c>
      <c r="EU25" s="537">
        <v>27.8</v>
      </c>
      <c r="EV25" s="537">
        <v>20.399999999999999</v>
      </c>
      <c r="EW25" s="540">
        <v>6.7</v>
      </c>
      <c r="EX25" s="540">
        <v>4.9000000000000004</v>
      </c>
    </row>
    <row r="26" spans="1:154" hidden="1">
      <c r="A26" s="345" t="s">
        <v>329</v>
      </c>
      <c r="B26" s="96">
        <v>5.7126451612903217</v>
      </c>
      <c r="C26" s="97">
        <v>7.2427142857142854</v>
      </c>
      <c r="D26" s="97">
        <v>9.2838709677419367</v>
      </c>
      <c r="E26" s="97">
        <v>11.415199999999997</v>
      </c>
      <c r="F26" s="97">
        <v>14.988645161290325</v>
      </c>
      <c r="G26" s="97">
        <v>18.821199999999997</v>
      </c>
      <c r="H26" s="97">
        <v>22.01574193548387</v>
      </c>
      <c r="I26" s="97">
        <v>21.670709677419353</v>
      </c>
      <c r="J26" s="97">
        <v>19.087066666666662</v>
      </c>
      <c r="K26" s="97">
        <v>14.351999999999997</v>
      </c>
      <c r="L26" s="97">
        <v>9.0823999999999998</v>
      </c>
      <c r="M26" s="100">
        <v>6.2476397849462364</v>
      </c>
      <c r="N26" s="106">
        <v>6.68</v>
      </c>
      <c r="O26" s="106">
        <v>6.02</v>
      </c>
      <c r="P26" s="106">
        <v>7.2</v>
      </c>
      <c r="Q26" s="106">
        <v>9.0399999999999991</v>
      </c>
      <c r="R26" s="106">
        <v>13.85</v>
      </c>
      <c r="S26" s="106">
        <v>17.559999999999999</v>
      </c>
      <c r="T26" s="106">
        <v>20.07</v>
      </c>
      <c r="U26" s="106">
        <v>20.83</v>
      </c>
      <c r="V26" s="106">
        <v>19.53</v>
      </c>
      <c r="W26" s="106">
        <v>16.649999999999999</v>
      </c>
      <c r="X26" s="106">
        <v>12.8</v>
      </c>
      <c r="Y26" s="106">
        <v>9.2200000000000006</v>
      </c>
      <c r="Z26" s="102">
        <v>1599.7096774193549</v>
      </c>
      <c r="AA26" s="4">
        <v>2514.4285714285716</v>
      </c>
      <c r="AB26" s="4">
        <v>3563.9354838709678</v>
      </c>
      <c r="AC26" s="4">
        <v>4466.2</v>
      </c>
      <c r="AD26" s="4">
        <v>5408.5483870967746</v>
      </c>
      <c r="AE26" s="4">
        <v>6342.333333333333</v>
      </c>
      <c r="AF26" s="4">
        <v>6715.1935483870966</v>
      </c>
      <c r="AG26" s="4">
        <v>5993.9354838709678</v>
      </c>
      <c r="AH26" s="4">
        <v>4437.7666666666664</v>
      </c>
      <c r="AI26" s="4">
        <v>3067.2580645161293</v>
      </c>
      <c r="AJ26" s="4">
        <v>1856.0666666666666</v>
      </c>
      <c r="AK26" s="23">
        <v>1384.483870967742</v>
      </c>
      <c r="AL26" s="29">
        <v>2767.5477296648846</v>
      </c>
      <c r="AM26" s="6">
        <v>3337.6770603260416</v>
      </c>
      <c r="AN26" s="6">
        <v>3272.1224929620557</v>
      </c>
      <c r="AO26" s="6">
        <v>2769.2649571887991</v>
      </c>
      <c r="AP26" s="6">
        <v>2590.8678645475447</v>
      </c>
      <c r="AQ26" s="6">
        <v>2649.0372188730489</v>
      </c>
      <c r="AR26" s="6">
        <v>2871.9138168456989</v>
      </c>
      <c r="AS26" s="6">
        <v>3261.9407620020365</v>
      </c>
      <c r="AT26" s="6">
        <v>3540.1515421020649</v>
      </c>
      <c r="AU26" s="6">
        <v>3726.5407984045187</v>
      </c>
      <c r="AV26" s="6">
        <v>3036.3012648795579</v>
      </c>
      <c r="AW26" s="30">
        <v>2591.8634085162121</v>
      </c>
      <c r="AX26" s="39">
        <v>2177.9633680317866</v>
      </c>
      <c r="AY26" s="8">
        <v>2808.9952721756531</v>
      </c>
      <c r="AZ26" s="8">
        <v>3129.3330162277789</v>
      </c>
      <c r="BA26" s="8">
        <v>3108.2283183694749</v>
      </c>
      <c r="BB26" s="8">
        <v>3204.3564711164759</v>
      </c>
      <c r="BC26" s="8">
        <v>3460.0701339587044</v>
      </c>
      <c r="BD26" s="8">
        <v>3782.3085060723874</v>
      </c>
      <c r="BE26" s="8">
        <v>3947.1042872696717</v>
      </c>
      <c r="BF26" s="8">
        <v>3630.3344514496848</v>
      </c>
      <c r="BG26" s="8">
        <v>3238.2096386008038</v>
      </c>
      <c r="BH26" s="8">
        <v>2420.7039936654851</v>
      </c>
      <c r="BI26" s="40">
        <v>2009.873361061628</v>
      </c>
      <c r="BJ26" s="49">
        <v>1272.9978253941849</v>
      </c>
      <c r="BK26" s="10">
        <v>1910.5794544536384</v>
      </c>
      <c r="BL26" s="10">
        <v>2542.6987591455299</v>
      </c>
      <c r="BM26" s="10">
        <v>2993.0489296047244</v>
      </c>
      <c r="BN26" s="10">
        <v>3486.3254255656161</v>
      </c>
      <c r="BO26" s="10">
        <v>4030.725063271736</v>
      </c>
      <c r="BP26" s="10">
        <v>4325.1851846436502</v>
      </c>
      <c r="BQ26" s="10">
        <v>4014.7644515805218</v>
      </c>
      <c r="BR26" s="10">
        <v>3128.7894544730143</v>
      </c>
      <c r="BS26" s="10">
        <v>2308.5496491578938</v>
      </c>
      <c r="BT26" s="10">
        <v>1465.805032313317</v>
      </c>
      <c r="BU26" s="50">
        <v>1118.6643086017609</v>
      </c>
      <c r="BV26" s="57">
        <v>524.61131863003357</v>
      </c>
      <c r="BW26" s="12">
        <v>773.94525295585618</v>
      </c>
      <c r="BX26" s="12">
        <v>1090.7589455906445</v>
      </c>
      <c r="BY26" s="12">
        <v>1420.7509245444919</v>
      </c>
      <c r="BZ26" s="12">
        <v>1695.3686663297092</v>
      </c>
      <c r="CA26" s="12">
        <v>1845.1536560813895</v>
      </c>
      <c r="CB26" s="12">
        <v>1801.1955632636382</v>
      </c>
      <c r="CC26" s="12">
        <v>1581.5591850324433</v>
      </c>
      <c r="CD26" s="12">
        <v>1243.7838662993092</v>
      </c>
      <c r="CE26" s="12">
        <v>884.37701341141189</v>
      </c>
      <c r="CF26" s="12">
        <v>587.92371477297752</v>
      </c>
      <c r="CG26" s="63">
        <v>460.89497469858509</v>
      </c>
      <c r="CH26" s="71">
        <v>9852.6000000000058</v>
      </c>
      <c r="CI26" s="71">
        <v>7862.800000000002</v>
      </c>
      <c r="CJ26" s="71">
        <v>7175.7999999999984</v>
      </c>
      <c r="CK26" s="71">
        <v>5457.8999999999978</v>
      </c>
      <c r="CL26" s="71">
        <v>3300.4000000000005</v>
      </c>
      <c r="CM26" s="71">
        <v>1497.5999999999985</v>
      </c>
      <c r="CN26" s="71">
        <v>521.50000000000011</v>
      </c>
      <c r="CO26" s="71">
        <v>624.80000000000086</v>
      </c>
      <c r="CP26" s="71">
        <v>1355.200000000001</v>
      </c>
      <c r="CQ26" s="71">
        <v>3612.9000000000015</v>
      </c>
      <c r="CR26" s="71">
        <v>7098.3999999999924</v>
      </c>
      <c r="CS26" s="71">
        <v>9454.5000000000055</v>
      </c>
      <c r="CT26" s="79">
        <v>0</v>
      </c>
      <c r="CU26" s="79">
        <v>0</v>
      </c>
      <c r="CV26" s="79">
        <v>1.7999999999999972</v>
      </c>
      <c r="CW26" s="79">
        <v>60.2</v>
      </c>
      <c r="CX26" s="79">
        <v>399.50000000000006</v>
      </c>
      <c r="CY26" s="79">
        <v>1463.6000000000001</v>
      </c>
      <c r="CZ26" s="79">
        <v>2867.3</v>
      </c>
      <c r="DA26" s="79">
        <v>2714.4</v>
      </c>
      <c r="DB26" s="79">
        <v>1497.599999999999</v>
      </c>
      <c r="DC26" s="79">
        <v>224.19999999999987</v>
      </c>
      <c r="DD26" s="79">
        <v>3.3999999999999986</v>
      </c>
      <c r="DE26" s="79">
        <v>0</v>
      </c>
      <c r="DF26" s="87">
        <v>0</v>
      </c>
      <c r="DG26" s="87">
        <v>0</v>
      </c>
      <c r="DH26" s="87">
        <v>0</v>
      </c>
      <c r="DI26" s="87">
        <v>0</v>
      </c>
      <c r="DJ26" s="87">
        <v>4.4000000000000021</v>
      </c>
      <c r="DK26" s="87">
        <v>98.200000000000045</v>
      </c>
      <c r="DL26" s="87">
        <v>560.80000000000018</v>
      </c>
      <c r="DM26" s="87">
        <v>426.1999999999997</v>
      </c>
      <c r="DN26" s="87">
        <v>193.50000000000003</v>
      </c>
      <c r="DO26" s="87">
        <v>0</v>
      </c>
      <c r="DP26" s="87">
        <v>0</v>
      </c>
      <c r="DQ26" s="87">
        <v>0</v>
      </c>
      <c r="DR26" s="94">
        <v>15060.599999999986</v>
      </c>
      <c r="DS26" s="94">
        <v>12566.800000000003</v>
      </c>
      <c r="DT26" s="94">
        <v>12382.000000000009</v>
      </c>
      <c r="DU26" s="94">
        <v>10437.700000000003</v>
      </c>
      <c r="DV26" s="94">
        <v>8113.2999999999929</v>
      </c>
      <c r="DW26" s="94">
        <v>5172.2000000000025</v>
      </c>
      <c r="DX26" s="94">
        <v>3423.0000000000014</v>
      </c>
      <c r="DY26" s="94">
        <v>3544.5999999999967</v>
      </c>
      <c r="DZ26" s="94">
        <v>5091.0999999999949</v>
      </c>
      <c r="EA26" s="94">
        <v>8596.7000000000116</v>
      </c>
      <c r="EB26" s="94">
        <v>12134.999999999985</v>
      </c>
      <c r="EC26" s="94">
        <v>14662.500000000002</v>
      </c>
      <c r="ED26" s="224" t="s">
        <v>304</v>
      </c>
      <c r="EE26" s="542">
        <v>10.9</v>
      </c>
      <c r="EF26" s="542">
        <v>17.899999999999999</v>
      </c>
      <c r="EG26" s="542">
        <v>27.8</v>
      </c>
      <c r="EH26" s="542">
        <v>42.7</v>
      </c>
      <c r="EI26" s="542">
        <v>67.7</v>
      </c>
      <c r="EJ26" s="542">
        <v>88.7</v>
      </c>
      <c r="EK26" s="542">
        <v>88.7</v>
      </c>
      <c r="EL26" s="545">
        <v>7.4</v>
      </c>
      <c r="EM26" s="545">
        <v>12.1</v>
      </c>
      <c r="EN26" s="545">
        <v>18.8</v>
      </c>
      <c r="EO26" s="545">
        <v>28.9</v>
      </c>
      <c r="EP26" s="545">
        <v>53.7</v>
      </c>
      <c r="EQ26" s="545">
        <v>62.8</v>
      </c>
      <c r="ER26" s="545">
        <v>62.8</v>
      </c>
      <c r="ES26" s="533">
        <v>17.899999999999999</v>
      </c>
      <c r="ET26" s="533">
        <v>13.2</v>
      </c>
      <c r="EU26" s="537">
        <v>28.1</v>
      </c>
      <c r="EV26" s="537">
        <v>20.7</v>
      </c>
      <c r="EW26" s="540">
        <v>6.8</v>
      </c>
      <c r="EX26" s="540">
        <v>5</v>
      </c>
    </row>
    <row r="27" spans="1:154" hidden="1">
      <c r="A27" s="345" t="s">
        <v>330</v>
      </c>
      <c r="B27" s="96">
        <v>5.7979354838709654</v>
      </c>
      <c r="C27" s="97">
        <v>6.4810000000000008</v>
      </c>
      <c r="D27" s="97">
        <v>7.7216774193548385</v>
      </c>
      <c r="E27" s="97">
        <v>9.4205333333333332</v>
      </c>
      <c r="F27" s="97">
        <v>11.634838709677419</v>
      </c>
      <c r="G27" s="97">
        <v>14.784533333333334</v>
      </c>
      <c r="H27" s="97">
        <v>17.094580645161287</v>
      </c>
      <c r="I27" s="97">
        <v>17.352258064516132</v>
      </c>
      <c r="J27" s="97">
        <v>15.858666666666668</v>
      </c>
      <c r="K27" s="97">
        <v>12.445548387096771</v>
      </c>
      <c r="L27" s="97">
        <v>8.5397333333333361</v>
      </c>
      <c r="M27" s="100">
        <v>6.2561182795698942</v>
      </c>
      <c r="N27" s="106">
        <v>10.58</v>
      </c>
      <c r="O27" s="106">
        <v>8.01</v>
      </c>
      <c r="P27" s="106">
        <v>6.43</v>
      </c>
      <c r="Q27" s="106">
        <v>5.95</v>
      </c>
      <c r="R27" s="106">
        <v>6.9</v>
      </c>
      <c r="S27" s="106">
        <v>9.0399999999999991</v>
      </c>
      <c r="T27" s="106">
        <v>11.69</v>
      </c>
      <c r="U27" s="106">
        <v>14.28</v>
      </c>
      <c r="V27" s="106">
        <v>16.02</v>
      </c>
      <c r="W27" s="106">
        <v>16.43</v>
      </c>
      <c r="X27" s="106">
        <v>15.42</v>
      </c>
      <c r="Y27" s="106">
        <v>13.32</v>
      </c>
      <c r="Z27" s="102">
        <v>1351.1612903225807</v>
      </c>
      <c r="AA27" s="4">
        <v>2087.8928571428573</v>
      </c>
      <c r="AB27" s="4">
        <v>3105.6129032258063</v>
      </c>
      <c r="AC27" s="4">
        <v>4264.8</v>
      </c>
      <c r="AD27" s="4">
        <v>4830.0967741935483</v>
      </c>
      <c r="AE27" s="4">
        <v>5695.2</v>
      </c>
      <c r="AF27" s="4">
        <v>5806.0967741935483</v>
      </c>
      <c r="AG27" s="4">
        <v>5266.3870967741932</v>
      </c>
      <c r="AH27" s="4">
        <v>3795.7333333333331</v>
      </c>
      <c r="AI27" s="4">
        <v>2633.0322580645161</v>
      </c>
      <c r="AJ27" s="4">
        <v>1604.5333333333333</v>
      </c>
      <c r="AK27" s="23">
        <v>1133.2258064516129</v>
      </c>
      <c r="AL27" s="29">
        <v>2258.4315275071399</v>
      </c>
      <c r="AM27" s="6">
        <v>2656.9835180872119</v>
      </c>
      <c r="AN27" s="6">
        <v>2810.6076431001025</v>
      </c>
      <c r="AO27" s="6">
        <v>2681.6576730481188</v>
      </c>
      <c r="AP27" s="6">
        <v>2397.6537637050542</v>
      </c>
      <c r="AQ27" s="6">
        <v>2502.3636870396263</v>
      </c>
      <c r="AR27" s="6">
        <v>2631.9596737342276</v>
      </c>
      <c r="AS27" s="6">
        <v>2940.6492739279106</v>
      </c>
      <c r="AT27" s="6">
        <v>3000.4402817700279</v>
      </c>
      <c r="AU27" s="6">
        <v>3115.3838508547897</v>
      </c>
      <c r="AV27" s="6">
        <v>2561.6898110023294</v>
      </c>
      <c r="AW27" s="30">
        <v>2021.5191942185891</v>
      </c>
      <c r="AX27" s="39">
        <v>1787.0374661202932</v>
      </c>
      <c r="AY27" s="8">
        <v>2250.4810709987823</v>
      </c>
      <c r="AZ27" s="8">
        <v>2684.7576919559747</v>
      </c>
      <c r="BA27" s="8">
        <v>2985.7579435682587</v>
      </c>
      <c r="BB27" s="8">
        <v>2887.5904028761838</v>
      </c>
      <c r="BC27" s="8">
        <v>3157.5300983024481</v>
      </c>
      <c r="BD27" s="8">
        <v>3321.4547031303441</v>
      </c>
      <c r="BE27" s="8">
        <v>3475.678380920936</v>
      </c>
      <c r="BF27" s="8">
        <v>3057.3853598805622</v>
      </c>
      <c r="BG27" s="8">
        <v>2715.8715251877306</v>
      </c>
      <c r="BH27" s="8">
        <v>2050.296743101178</v>
      </c>
      <c r="BI27" s="40">
        <v>1579.1740340636986</v>
      </c>
      <c r="BJ27" s="49">
        <v>1062.8215177917823</v>
      </c>
      <c r="BK27" s="10">
        <v>1562.947469907723</v>
      </c>
      <c r="BL27" s="10">
        <v>2199.51049425264</v>
      </c>
      <c r="BM27" s="10">
        <v>2864.3615075716989</v>
      </c>
      <c r="BN27" s="10">
        <v>3107.0310905997176</v>
      </c>
      <c r="BO27" s="10">
        <v>3616.6175683685506</v>
      </c>
      <c r="BP27" s="10">
        <v>3728.0595784829534</v>
      </c>
      <c r="BQ27" s="10">
        <v>3513.0701052890176</v>
      </c>
      <c r="BR27" s="10">
        <v>2652.6036679002323</v>
      </c>
      <c r="BS27" s="10">
        <v>1962.4748019581984</v>
      </c>
      <c r="BT27" s="10">
        <v>1257.2427602383689</v>
      </c>
      <c r="BU27" s="50">
        <v>900.30947261237554</v>
      </c>
      <c r="BV27" s="57">
        <v>477.42664867120999</v>
      </c>
      <c r="BW27" s="12">
        <v>712.09787121036004</v>
      </c>
      <c r="BX27" s="12">
        <v>1033.2669091739706</v>
      </c>
      <c r="BY27" s="12">
        <v>1394.6271027228495</v>
      </c>
      <c r="BZ27" s="12">
        <v>1638.5187156369998</v>
      </c>
      <c r="CA27" s="12">
        <v>1807.1672701650136</v>
      </c>
      <c r="CB27" s="12">
        <v>1767.7099805848625</v>
      </c>
      <c r="CC27" s="12">
        <v>1552.0201675674243</v>
      </c>
      <c r="CD27" s="12">
        <v>1190.2906927088723</v>
      </c>
      <c r="CE27" s="12">
        <v>834.70669269694451</v>
      </c>
      <c r="CF27" s="12">
        <v>544.16152928371162</v>
      </c>
      <c r="CG27" s="63">
        <v>411.07904840576509</v>
      </c>
      <c r="CH27" s="71">
        <v>9784.8000000000029</v>
      </c>
      <c r="CI27" s="71">
        <v>8373.2000000000025</v>
      </c>
      <c r="CJ27" s="71">
        <v>8332.1000000000095</v>
      </c>
      <c r="CK27" s="71">
        <v>6833.4000000000042</v>
      </c>
      <c r="CL27" s="71">
        <v>5432.2000000000007</v>
      </c>
      <c r="CM27" s="71">
        <v>3248.9000000000015</v>
      </c>
      <c r="CN27" s="71">
        <v>2201.8999999999987</v>
      </c>
      <c r="CO27" s="71">
        <v>2031.900000000001</v>
      </c>
      <c r="CP27" s="71">
        <v>2755.3999999999987</v>
      </c>
      <c r="CQ27" s="71">
        <v>4945.3000000000029</v>
      </c>
      <c r="CR27" s="71">
        <v>7493.2999999999984</v>
      </c>
      <c r="CS27" s="71">
        <v>9449.1999999999953</v>
      </c>
      <c r="CT27" s="79">
        <v>0</v>
      </c>
      <c r="CU27" s="79">
        <v>0</v>
      </c>
      <c r="CV27" s="79">
        <v>0</v>
      </c>
      <c r="CW27" s="79">
        <v>0</v>
      </c>
      <c r="CX27" s="79">
        <v>32.29999999999999</v>
      </c>
      <c r="CY27" s="79">
        <v>291.49999999999994</v>
      </c>
      <c r="CZ27" s="79">
        <v>863.90000000000077</v>
      </c>
      <c r="DA27" s="79">
        <v>882.30000000000018</v>
      </c>
      <c r="DB27" s="79">
        <v>568.60000000000048</v>
      </c>
      <c r="DC27" s="79">
        <v>136.30000000000001</v>
      </c>
      <c r="DD27" s="79">
        <v>9.7000000000000028</v>
      </c>
      <c r="DE27" s="79">
        <v>0</v>
      </c>
      <c r="DF27" s="87">
        <v>0</v>
      </c>
      <c r="DG27" s="87">
        <v>0</v>
      </c>
      <c r="DH27" s="87">
        <v>0</v>
      </c>
      <c r="DI27" s="87">
        <v>0</v>
      </c>
      <c r="DJ27" s="87">
        <v>0</v>
      </c>
      <c r="DK27" s="87">
        <v>0</v>
      </c>
      <c r="DL27" s="87">
        <v>22.900000000000013</v>
      </c>
      <c r="DM27" s="87">
        <v>33.099999999999994</v>
      </c>
      <c r="DN27" s="87">
        <v>3.3000000000000007</v>
      </c>
      <c r="DO27" s="87">
        <v>0</v>
      </c>
      <c r="DP27" s="87">
        <v>0</v>
      </c>
      <c r="DQ27" s="87">
        <v>0</v>
      </c>
      <c r="DR27" s="94">
        <v>14992.799999999981</v>
      </c>
      <c r="DS27" s="94">
        <v>13077.200000000023</v>
      </c>
      <c r="DT27" s="94">
        <v>13540.100000000022</v>
      </c>
      <c r="DU27" s="94">
        <v>11873.400000000001</v>
      </c>
      <c r="DV27" s="94">
        <v>10607.90000000002</v>
      </c>
      <c r="DW27" s="94">
        <v>7997.4000000000051</v>
      </c>
      <c r="DX27" s="94">
        <v>6568.8999999999987</v>
      </c>
      <c r="DY27" s="94">
        <v>6390.6999999999925</v>
      </c>
      <c r="DZ27" s="94">
        <v>7230.0999999999967</v>
      </c>
      <c r="EA27" s="94">
        <v>10016.999999999998</v>
      </c>
      <c r="EB27" s="94">
        <v>12523.600000000039</v>
      </c>
      <c r="EC27" s="94">
        <v>14657.199999999995</v>
      </c>
      <c r="ED27" s="224" t="s">
        <v>306</v>
      </c>
      <c r="EE27" s="542">
        <v>13.8</v>
      </c>
      <c r="EF27" s="542">
        <v>21.2</v>
      </c>
      <c r="EG27" s="542">
        <v>31.6</v>
      </c>
      <c r="EH27" s="542">
        <v>47.2</v>
      </c>
      <c r="EI27" s="542">
        <v>89</v>
      </c>
      <c r="EJ27" s="542">
        <v>109.5</v>
      </c>
      <c r="EK27" s="542">
        <v>109.5</v>
      </c>
      <c r="EL27" s="545">
        <v>10</v>
      </c>
      <c r="EM27" s="545">
        <v>15.4</v>
      </c>
      <c r="EN27" s="545">
        <v>23</v>
      </c>
      <c r="EO27" s="545">
        <v>34.299999999999997</v>
      </c>
      <c r="EP27" s="545">
        <v>62</v>
      </c>
      <c r="EQ27" s="545">
        <v>74.400000000000006</v>
      </c>
      <c r="ER27" s="545">
        <v>74.400000000000006</v>
      </c>
      <c r="ES27" s="533">
        <v>18.5</v>
      </c>
      <c r="ET27" s="533">
        <v>13.5</v>
      </c>
      <c r="EU27" s="537">
        <v>29</v>
      </c>
      <c r="EV27" s="537">
        <v>21.2</v>
      </c>
      <c r="EW27" s="540">
        <v>7</v>
      </c>
      <c r="EX27" s="540">
        <v>5.0999999999999996</v>
      </c>
    </row>
    <row r="28" spans="1:154" hidden="1">
      <c r="A28" s="66" t="s">
        <v>254</v>
      </c>
      <c r="B28" s="96">
        <v>6.1205161290322581</v>
      </c>
      <c r="C28" s="97">
        <v>7.394285714285715</v>
      </c>
      <c r="D28" s="97">
        <v>9.8692903225806443</v>
      </c>
      <c r="E28" s="97">
        <v>12.074933333333332</v>
      </c>
      <c r="F28" s="97">
        <v>15.945032258064513</v>
      </c>
      <c r="G28" s="97">
        <v>20.549199999999995</v>
      </c>
      <c r="H28" s="97">
        <v>24.237161290322568</v>
      </c>
      <c r="I28" s="97">
        <v>23.763483870967743</v>
      </c>
      <c r="J28" s="97">
        <v>20.361733333333333</v>
      </c>
      <c r="K28" s="97">
        <v>14.679354838709678</v>
      </c>
      <c r="L28" s="97">
        <v>9.3530666666666686</v>
      </c>
      <c r="M28" s="100">
        <v>6.3585591397849459</v>
      </c>
      <c r="N28" s="105">
        <v>6.1</v>
      </c>
      <c r="O28" s="105">
        <v>7.65</v>
      </c>
      <c r="P28" s="105">
        <v>10.66</v>
      </c>
      <c r="Q28" s="105">
        <v>13.51</v>
      </c>
      <c r="R28" s="105">
        <v>18.91</v>
      </c>
      <c r="S28" s="105">
        <v>21.75</v>
      </c>
      <c r="T28" s="105">
        <v>22.53</v>
      </c>
      <c r="U28" s="105">
        <v>21.09</v>
      </c>
      <c r="V28" s="105">
        <v>17.760000000000002</v>
      </c>
      <c r="W28" s="105">
        <v>13.62</v>
      </c>
      <c r="X28" s="105">
        <v>9.5299999999999994</v>
      </c>
      <c r="Y28" s="105">
        <v>6.84</v>
      </c>
      <c r="Z28" s="102">
        <v>1878.3225806451612</v>
      </c>
      <c r="AA28" s="4">
        <v>2659</v>
      </c>
      <c r="AB28" s="4">
        <v>3781.8387096774195</v>
      </c>
      <c r="AC28" s="4">
        <v>4836.1000000000004</v>
      </c>
      <c r="AD28" s="4">
        <v>5936.6451612903229</v>
      </c>
      <c r="AE28" s="4">
        <v>6637.9666666666662</v>
      </c>
      <c r="AF28" s="4">
        <v>7185.1935483870966</v>
      </c>
      <c r="AG28" s="4">
        <v>6399.8064516129034</v>
      </c>
      <c r="AH28" s="4">
        <v>4770.833333333333</v>
      </c>
      <c r="AI28" s="4">
        <v>3267.3548387096776</v>
      </c>
      <c r="AJ28" s="4">
        <v>2128.5666666666666</v>
      </c>
      <c r="AK28" s="23">
        <v>1658.1290322580646</v>
      </c>
      <c r="AL28" s="29">
        <v>3123.6328016071457</v>
      </c>
      <c r="AM28" s="6">
        <v>3324.0186640519141</v>
      </c>
      <c r="AN28" s="6">
        <v>3331.9780321978187</v>
      </c>
      <c r="AO28" s="6">
        <v>2881.2590787408599</v>
      </c>
      <c r="AP28" s="6">
        <v>2675.1335632964892</v>
      </c>
      <c r="AQ28" s="6">
        <v>2608.4652325943648</v>
      </c>
      <c r="AR28" s="6">
        <v>2860.6865053133138</v>
      </c>
      <c r="AS28" s="6">
        <v>3301.2701866519856</v>
      </c>
      <c r="AT28" s="6">
        <v>3657.5599866896355</v>
      </c>
      <c r="AU28" s="6">
        <v>3770.8821599199155</v>
      </c>
      <c r="AV28" s="6">
        <v>3333.6348972755331</v>
      </c>
      <c r="AW28" s="30">
        <v>2984.3603822838277</v>
      </c>
      <c r="AX28" s="39">
        <v>2469.5841744186828</v>
      </c>
      <c r="AY28" s="8">
        <v>2826.586168384656</v>
      </c>
      <c r="AZ28" s="8">
        <v>3220.6763235241569</v>
      </c>
      <c r="BA28" s="8">
        <v>3297.559176410874</v>
      </c>
      <c r="BB28" s="8">
        <v>3432.2459458781886</v>
      </c>
      <c r="BC28" s="8">
        <v>3527.57592908778</v>
      </c>
      <c r="BD28" s="8">
        <v>3931.2277950520752</v>
      </c>
      <c r="BE28" s="8">
        <v>4107.0644443562078</v>
      </c>
      <c r="BF28" s="8">
        <v>3802.6466401848893</v>
      </c>
      <c r="BG28" s="8">
        <v>3309.0035090891229</v>
      </c>
      <c r="BH28" s="8">
        <v>2673.2683410200402</v>
      </c>
      <c r="BI28" s="40">
        <v>2323.096998878817</v>
      </c>
      <c r="BJ28" s="49">
        <v>1467.5185271792486</v>
      </c>
      <c r="BK28" s="10">
        <v>1969.913493639634</v>
      </c>
      <c r="BL28" s="10">
        <v>2654.8448620122554</v>
      </c>
      <c r="BM28" s="10">
        <v>3212.4963462146302</v>
      </c>
      <c r="BN28" s="10">
        <v>3802.1042682177181</v>
      </c>
      <c r="BO28" s="10">
        <v>4182.5214362205434</v>
      </c>
      <c r="BP28" s="10">
        <v>4588.0559172511739</v>
      </c>
      <c r="BQ28" s="10">
        <v>4241.4885690655437</v>
      </c>
      <c r="BR28" s="10">
        <v>3318.4926638213765</v>
      </c>
      <c r="BS28" s="10">
        <v>2405.4465043250198</v>
      </c>
      <c r="BT28" s="10">
        <v>1647.7587967218246</v>
      </c>
      <c r="BU28" s="50">
        <v>1315.5208505564804</v>
      </c>
      <c r="BV28" s="57">
        <v>589.68066340362634</v>
      </c>
      <c r="BW28" s="12">
        <v>821.81891824452782</v>
      </c>
      <c r="BX28" s="12">
        <v>1137.7908293194359</v>
      </c>
      <c r="BY28" s="12">
        <v>1467.6933689140124</v>
      </c>
      <c r="BZ28" s="12">
        <v>1732.090669090793</v>
      </c>
      <c r="CA28" s="12">
        <v>1850.2749144484244</v>
      </c>
      <c r="CB28" s="12">
        <v>1798.9850351268601</v>
      </c>
      <c r="CC28" s="12">
        <v>1596.9248315560401</v>
      </c>
      <c r="CD28" s="12">
        <v>1285.6018666629423</v>
      </c>
      <c r="CE28" s="12">
        <v>933.99184518608513</v>
      </c>
      <c r="CF28" s="12">
        <v>650.10291071805568</v>
      </c>
      <c r="CG28" s="63">
        <v>526.18097763005937</v>
      </c>
      <c r="CH28" s="71">
        <v>9553.3000000000138</v>
      </c>
      <c r="CI28" s="71">
        <v>7765.9000000000024</v>
      </c>
      <c r="CJ28" s="71">
        <v>6736.6999999999989</v>
      </c>
      <c r="CK28" s="71">
        <v>4961.0999999999995</v>
      </c>
      <c r="CL28" s="71">
        <v>2728.7999999999997</v>
      </c>
      <c r="CM28" s="71">
        <v>769.50000000000023</v>
      </c>
      <c r="CN28" s="71">
        <v>106.00000000000003</v>
      </c>
      <c r="CO28" s="71">
        <v>75.200000000000017</v>
      </c>
      <c r="CP28" s="71">
        <v>650.1999999999997</v>
      </c>
      <c r="CQ28" s="71">
        <v>3389.2999999999993</v>
      </c>
      <c r="CR28" s="71">
        <v>6906.9000000000087</v>
      </c>
      <c r="CS28" s="71">
        <v>9372.2000000000025</v>
      </c>
      <c r="CT28" s="79">
        <v>0</v>
      </c>
      <c r="CU28" s="79">
        <v>0</v>
      </c>
      <c r="CV28" s="79">
        <v>0</v>
      </c>
      <c r="CW28" s="79">
        <v>36.5</v>
      </c>
      <c r="CX28" s="79">
        <v>529.69999999999993</v>
      </c>
      <c r="CY28" s="79">
        <v>1969.4000000000008</v>
      </c>
      <c r="CZ28" s="79">
        <v>4088.7999999999975</v>
      </c>
      <c r="DA28" s="79">
        <v>3713.1999999999962</v>
      </c>
      <c r="DB28" s="79">
        <v>1705.0000000000007</v>
      </c>
      <c r="DC28" s="79">
        <v>233.39999999999984</v>
      </c>
      <c r="DD28" s="79">
        <v>0</v>
      </c>
      <c r="DE28" s="79">
        <v>0</v>
      </c>
      <c r="DF28" s="87">
        <v>0</v>
      </c>
      <c r="DG28" s="87">
        <v>0</v>
      </c>
      <c r="DH28" s="87">
        <v>0</v>
      </c>
      <c r="DI28" s="87">
        <v>0</v>
      </c>
      <c r="DJ28" s="87">
        <v>10.700000000000006</v>
      </c>
      <c r="DK28" s="87">
        <v>240.89999999999995</v>
      </c>
      <c r="DL28" s="87">
        <v>960.90000000000032</v>
      </c>
      <c r="DM28" s="87">
        <v>820.90000000000089</v>
      </c>
      <c r="DN28" s="87">
        <v>205.59999999999997</v>
      </c>
      <c r="DO28" s="87">
        <v>1.7000000000000028</v>
      </c>
      <c r="DP28" s="87">
        <v>0</v>
      </c>
      <c r="DQ28" s="87">
        <v>0</v>
      </c>
      <c r="DR28" s="94">
        <v>14761.299999999997</v>
      </c>
      <c r="DS28" s="94">
        <v>12469.900000000007</v>
      </c>
      <c r="DT28" s="94">
        <v>11944.70000000001</v>
      </c>
      <c r="DU28" s="94">
        <v>9964.5999999999949</v>
      </c>
      <c r="DV28" s="94">
        <v>7417.7999999999993</v>
      </c>
      <c r="DW28" s="94">
        <v>4081</v>
      </c>
      <c r="DX28" s="94">
        <v>2186.0999999999995</v>
      </c>
      <c r="DY28" s="94">
        <v>2390.8999999999992</v>
      </c>
      <c r="DZ28" s="94">
        <v>4190.8000000000056</v>
      </c>
      <c r="EA28" s="94">
        <v>8365.5999999999985</v>
      </c>
      <c r="EB28" s="94">
        <v>11946.900000000009</v>
      </c>
      <c r="EC28" s="94">
        <v>14580.200000000026</v>
      </c>
      <c r="ED28" s="225" t="s">
        <v>151</v>
      </c>
      <c r="EE28" s="542">
        <v>10</v>
      </c>
      <c r="EF28" s="542">
        <v>16.399999999999999</v>
      </c>
      <c r="EG28" s="542">
        <v>25.5</v>
      </c>
      <c r="EH28" s="542">
        <v>39.200000000000003</v>
      </c>
      <c r="EI28" s="542">
        <v>66</v>
      </c>
      <c r="EJ28" s="542">
        <v>79.2</v>
      </c>
      <c r="EK28" s="542">
        <v>79.2</v>
      </c>
      <c r="EL28" s="545">
        <v>6.8</v>
      </c>
      <c r="EM28" s="545">
        <v>11.1</v>
      </c>
      <c r="EN28" s="545">
        <v>17.3</v>
      </c>
      <c r="EO28" s="545">
        <v>26.5</v>
      </c>
      <c r="EP28" s="545">
        <v>56.3</v>
      </c>
      <c r="EQ28" s="545">
        <v>67.599999999999994</v>
      </c>
      <c r="ER28" s="545">
        <v>67.599999999999994</v>
      </c>
      <c r="ES28" s="533">
        <v>17.7</v>
      </c>
      <c r="ET28" s="533">
        <v>13</v>
      </c>
      <c r="EU28" s="537">
        <v>27.8</v>
      </c>
      <c r="EV28" s="537">
        <v>20.399999999999999</v>
      </c>
      <c r="EW28" s="540">
        <v>6.7</v>
      </c>
      <c r="EX28" s="540">
        <v>4.9000000000000004</v>
      </c>
    </row>
    <row r="29" spans="1:154" hidden="1">
      <c r="A29" s="345" t="s">
        <v>331</v>
      </c>
      <c r="B29" s="96">
        <v>12.108903225806452</v>
      </c>
      <c r="C29" s="97">
        <v>12.735571428571431</v>
      </c>
      <c r="D29" s="97">
        <v>13.925677419354839</v>
      </c>
      <c r="E29" s="97">
        <v>15.670399999999997</v>
      </c>
      <c r="F29" s="97">
        <v>18.600903225806444</v>
      </c>
      <c r="G29" s="97">
        <v>22.015600000000003</v>
      </c>
      <c r="H29" s="97">
        <v>24.597161290322578</v>
      </c>
      <c r="I29" s="97">
        <v>25.200903225806449</v>
      </c>
      <c r="J29" s="97">
        <v>23.018533333333334</v>
      </c>
      <c r="K29" s="97">
        <v>19.030967741935488</v>
      </c>
      <c r="L29" s="97">
        <v>15.06266666666667</v>
      </c>
      <c r="M29" s="100">
        <v>12.543602150537634</v>
      </c>
      <c r="N29" s="106">
        <v>12.57</v>
      </c>
      <c r="O29" s="106">
        <v>12.04</v>
      </c>
      <c r="P29" s="106">
        <v>12.98</v>
      </c>
      <c r="Q29" s="106">
        <v>14.45</v>
      </c>
      <c r="R29" s="106">
        <v>18.3</v>
      </c>
      <c r="S29" s="106">
        <v>21.27</v>
      </c>
      <c r="T29" s="106">
        <v>23.28</v>
      </c>
      <c r="U29" s="106">
        <v>23.89</v>
      </c>
      <c r="V29" s="106">
        <v>22.85</v>
      </c>
      <c r="W29" s="106">
        <v>20.54</v>
      </c>
      <c r="X29" s="106">
        <v>17.46</v>
      </c>
      <c r="Y29" s="106">
        <v>14.6</v>
      </c>
      <c r="Z29" s="102">
        <v>2594.0322580645161</v>
      </c>
      <c r="AA29" s="4">
        <v>3339.8214285714284</v>
      </c>
      <c r="AB29" s="4">
        <v>4462.3548387096771</v>
      </c>
      <c r="AC29" s="4">
        <v>5364.7</v>
      </c>
      <c r="AD29" s="4">
        <v>6640.6451612903229</v>
      </c>
      <c r="AE29" s="4">
        <v>7176.666666666667</v>
      </c>
      <c r="AF29" s="4">
        <v>7363.8387096774195</v>
      </c>
      <c r="AG29" s="4">
        <v>6679.6129032258068</v>
      </c>
      <c r="AH29" s="4">
        <v>5246.333333333333</v>
      </c>
      <c r="AI29" s="4">
        <v>3903.9032258064517</v>
      </c>
      <c r="AJ29" s="4">
        <v>2828.1333333333332</v>
      </c>
      <c r="AK29" s="23">
        <v>2336.7096774193546</v>
      </c>
      <c r="AL29" s="29">
        <v>4121.8861620102998</v>
      </c>
      <c r="AM29" s="6">
        <v>3952.9766999409885</v>
      </c>
      <c r="AN29" s="6">
        <v>3690.1686330237785</v>
      </c>
      <c r="AO29" s="6">
        <v>2942.8057623036384</v>
      </c>
      <c r="AP29" s="6">
        <v>2657.6787416879115</v>
      </c>
      <c r="AQ29" s="6">
        <v>2481.4232618917035</v>
      </c>
      <c r="AR29" s="6">
        <v>2631.3371941713108</v>
      </c>
      <c r="AS29" s="6">
        <v>3121.6423059537919</v>
      </c>
      <c r="AT29" s="6">
        <v>3704.7453486455584</v>
      </c>
      <c r="AU29" s="6">
        <v>4210.7279037345452</v>
      </c>
      <c r="AV29" s="6">
        <v>4199.121489498456</v>
      </c>
      <c r="AW29" s="30">
        <v>4006.0086828755957</v>
      </c>
      <c r="AX29" s="39">
        <v>3274.3945563233342</v>
      </c>
      <c r="AY29" s="8">
        <v>3398.8127740936047</v>
      </c>
      <c r="AZ29" s="8">
        <v>3643.7603981664561</v>
      </c>
      <c r="BA29" s="8">
        <v>3502.1093122407005</v>
      </c>
      <c r="BB29" s="8">
        <v>3654.8729002623622</v>
      </c>
      <c r="BC29" s="8">
        <v>3619.43023408199</v>
      </c>
      <c r="BD29" s="8">
        <v>3836.1108276862124</v>
      </c>
      <c r="BE29" s="8">
        <v>4068.7296241328108</v>
      </c>
      <c r="BF29" s="8">
        <v>3964.1363264700776</v>
      </c>
      <c r="BG29" s="8">
        <v>3752.1410747730697</v>
      </c>
      <c r="BH29" s="8">
        <v>3391.2640273166407</v>
      </c>
      <c r="BI29" s="40">
        <v>3130.8175302531854</v>
      </c>
      <c r="BJ29" s="49">
        <v>1978.1524055550574</v>
      </c>
      <c r="BK29" s="10">
        <v>2414.4942264366923</v>
      </c>
      <c r="BL29" s="10">
        <v>3066.6261362415794</v>
      </c>
      <c r="BM29" s="10">
        <v>3498.8091174239162</v>
      </c>
      <c r="BN29" s="10">
        <v>4190.5935928470826</v>
      </c>
      <c r="BO29" s="10">
        <v>4453.9997897520325</v>
      </c>
      <c r="BP29" s="10">
        <v>4613.9115016977694</v>
      </c>
      <c r="BQ29" s="10">
        <v>4326.9137144638462</v>
      </c>
      <c r="BR29" s="10">
        <v>3555.3873896822806</v>
      </c>
      <c r="BS29" s="10">
        <v>2794.3617636932545</v>
      </c>
      <c r="BT29" s="10">
        <v>2131.681757285678</v>
      </c>
      <c r="BU29" s="50">
        <v>1806.8667311173399</v>
      </c>
      <c r="BV29" s="57">
        <v>716.65410995872253</v>
      </c>
      <c r="BW29" s="12">
        <v>939.10904699414118</v>
      </c>
      <c r="BX29" s="12">
        <v>1233.8474272839992</v>
      </c>
      <c r="BY29" s="12">
        <v>1529.1527143074165</v>
      </c>
      <c r="BZ29" s="12">
        <v>1756.4844472179072</v>
      </c>
      <c r="CA29" s="12">
        <v>1843.2195590786985</v>
      </c>
      <c r="CB29" s="12">
        <v>1790.8059004440756</v>
      </c>
      <c r="CC29" s="12">
        <v>1619.0019487876061</v>
      </c>
      <c r="CD29" s="12">
        <v>1349.366850637191</v>
      </c>
      <c r="CE29" s="12">
        <v>1032.6805214322819</v>
      </c>
      <c r="CF29" s="12">
        <v>770.66356229992834</v>
      </c>
      <c r="CG29" s="63">
        <v>652.78399544312083</v>
      </c>
      <c r="CH29" s="71">
        <v>5098.099999999994</v>
      </c>
      <c r="CI29" s="71">
        <v>4242.9999999999964</v>
      </c>
      <c r="CJ29" s="71">
        <v>3955.9</v>
      </c>
      <c r="CK29" s="71">
        <v>2727.6000000000004</v>
      </c>
      <c r="CL29" s="71">
        <v>1375.1999999999991</v>
      </c>
      <c r="CM29" s="71">
        <v>229.69999999999959</v>
      </c>
      <c r="CN29" s="71">
        <v>12.000000000000014</v>
      </c>
      <c r="CO29" s="71">
        <v>0.10000000000000142</v>
      </c>
      <c r="CP29" s="71">
        <v>98.600000000000051</v>
      </c>
      <c r="CQ29" s="71">
        <v>1057.100000000001</v>
      </c>
      <c r="CR29" s="71">
        <v>2971.0000000000068</v>
      </c>
      <c r="CS29" s="71">
        <v>4782.7000000000044</v>
      </c>
      <c r="CT29" s="79">
        <v>16.399999999999999</v>
      </c>
      <c r="CU29" s="79">
        <v>81</v>
      </c>
      <c r="CV29" s="79">
        <v>237.29999999999995</v>
      </c>
      <c r="CW29" s="79">
        <v>397.3</v>
      </c>
      <c r="CX29" s="79">
        <v>1147.0000000000005</v>
      </c>
      <c r="CY29" s="79">
        <v>2471.9</v>
      </c>
      <c r="CZ29" s="79">
        <v>4244.7999999999947</v>
      </c>
      <c r="DA29" s="79">
        <v>4681.6999999999953</v>
      </c>
      <c r="DB29" s="79">
        <v>3052.5999999999945</v>
      </c>
      <c r="DC29" s="79">
        <v>1140.4999999999998</v>
      </c>
      <c r="DD29" s="79">
        <v>184.20000000000005</v>
      </c>
      <c r="DE29" s="79">
        <v>23.799999999999997</v>
      </c>
      <c r="DF29" s="87">
        <v>0</v>
      </c>
      <c r="DG29" s="87">
        <v>0</v>
      </c>
      <c r="DH29" s="87">
        <v>0</v>
      </c>
      <c r="DI29" s="87">
        <v>0.10000000000000142</v>
      </c>
      <c r="DJ29" s="87">
        <v>26.600000000000009</v>
      </c>
      <c r="DK29" s="87">
        <v>305.79999999999995</v>
      </c>
      <c r="DL29" s="87">
        <v>787.10000000000036</v>
      </c>
      <c r="DM29" s="87">
        <v>877.70000000000107</v>
      </c>
      <c r="DN29" s="87">
        <v>325.49999999999989</v>
      </c>
      <c r="DO29" s="87">
        <v>81.899999999999977</v>
      </c>
      <c r="DP29" s="87">
        <v>0.20000000000000284</v>
      </c>
      <c r="DQ29" s="87">
        <v>0</v>
      </c>
      <c r="DR29" s="94">
        <v>10289.699999999992</v>
      </c>
      <c r="DS29" s="94">
        <v>8866.0000000000036</v>
      </c>
      <c r="DT29" s="94">
        <v>8926.5999999999967</v>
      </c>
      <c r="DU29" s="94">
        <v>7370.399999999996</v>
      </c>
      <c r="DV29" s="94">
        <v>5462.8000000000011</v>
      </c>
      <c r="DW29" s="94">
        <v>3103.5999999999935</v>
      </c>
      <c r="DX29" s="94">
        <v>1762.3000000000004</v>
      </c>
      <c r="DY29" s="94">
        <v>1404.0999999999992</v>
      </c>
      <c r="DZ29" s="94">
        <v>2411.4999999999968</v>
      </c>
      <c r="EA29" s="94">
        <v>5206.4999999999955</v>
      </c>
      <c r="EB29" s="94">
        <v>7826.99999999999</v>
      </c>
      <c r="EC29" s="94">
        <v>9966.899999999996</v>
      </c>
      <c r="ED29" s="224" t="s">
        <v>344</v>
      </c>
      <c r="EE29" s="542">
        <v>4.7</v>
      </c>
      <c r="EF29" s="542">
        <v>8.9</v>
      </c>
      <c r="EG29" s="542">
        <v>15</v>
      </c>
      <c r="EH29" s="542">
        <v>24.1</v>
      </c>
      <c r="EI29" s="542">
        <v>40.700000000000003</v>
      </c>
      <c r="EJ29" s="542">
        <v>48.8</v>
      </c>
      <c r="EK29" s="542">
        <v>48.8</v>
      </c>
      <c r="EL29" s="545">
        <v>2.9</v>
      </c>
      <c r="EM29" s="545">
        <v>5.6</v>
      </c>
      <c r="EN29" s="545">
        <v>9.4</v>
      </c>
      <c r="EO29" s="545">
        <v>15.2</v>
      </c>
      <c r="EP29" s="545">
        <v>32.1</v>
      </c>
      <c r="EQ29" s="545">
        <v>36.299999999999997</v>
      </c>
      <c r="ER29" s="545">
        <v>36.299999999999997</v>
      </c>
      <c r="ES29" s="533">
        <v>16.7</v>
      </c>
      <c r="ET29" s="533">
        <v>12.3</v>
      </c>
      <c r="EU29" s="537">
        <v>26.2</v>
      </c>
      <c r="EV29" s="537">
        <v>19.3</v>
      </c>
      <c r="EW29" s="540">
        <v>6.3</v>
      </c>
      <c r="EX29" s="540">
        <v>4.7</v>
      </c>
    </row>
    <row r="30" spans="1:154" hidden="1">
      <c r="A30" s="345" t="s">
        <v>332</v>
      </c>
      <c r="B30" s="96">
        <v>10.526709677419355</v>
      </c>
      <c r="C30" s="97">
        <v>11.321142857142856</v>
      </c>
      <c r="D30" s="97">
        <v>12.507483870967741</v>
      </c>
      <c r="E30" s="97">
        <v>14.407866666666669</v>
      </c>
      <c r="F30" s="97">
        <v>17.291612903225808</v>
      </c>
      <c r="G30" s="97">
        <v>20.852533333333334</v>
      </c>
      <c r="H30" s="97">
        <v>23.800129032258063</v>
      </c>
      <c r="I30" s="97">
        <v>24.510322580645163</v>
      </c>
      <c r="J30" s="97">
        <v>22.475999999999996</v>
      </c>
      <c r="K30" s="97">
        <v>18.608903225806451</v>
      </c>
      <c r="L30" s="97">
        <v>14.268533333333332</v>
      </c>
      <c r="M30" s="100">
        <v>11.267913978494624</v>
      </c>
      <c r="N30" s="106">
        <v>11.16</v>
      </c>
      <c r="O30" s="106">
        <v>10.6</v>
      </c>
      <c r="P30" s="106">
        <v>11.6</v>
      </c>
      <c r="Q30" s="106">
        <v>13.17</v>
      </c>
      <c r="R30" s="106">
        <v>17.27</v>
      </c>
      <c r="S30" s="106">
        <v>20.440000000000001</v>
      </c>
      <c r="T30" s="106">
        <v>22.58</v>
      </c>
      <c r="U30" s="106">
        <v>23.23</v>
      </c>
      <c r="V30" s="106">
        <v>22.12</v>
      </c>
      <c r="W30" s="106">
        <v>19.66</v>
      </c>
      <c r="X30" s="106">
        <v>16.37</v>
      </c>
      <c r="Y30" s="106">
        <v>13.32</v>
      </c>
      <c r="Z30" s="102">
        <v>2433.9354838709678</v>
      </c>
      <c r="AA30" s="4">
        <v>3235.6071428571427</v>
      </c>
      <c r="AB30" s="4">
        <v>3974.7096774193546</v>
      </c>
      <c r="AC30" s="4">
        <v>4969.9333333333334</v>
      </c>
      <c r="AD30" s="4">
        <v>6088.8387096774195</v>
      </c>
      <c r="AE30" s="4">
        <v>6434.2666666666664</v>
      </c>
      <c r="AF30" s="4">
        <v>6508.5806451612907</v>
      </c>
      <c r="AG30" s="4">
        <v>5844.1290322580644</v>
      </c>
      <c r="AH30" s="4">
        <v>4598.7666666666664</v>
      </c>
      <c r="AI30" s="4">
        <v>3625.9032258064517</v>
      </c>
      <c r="AJ30" s="4">
        <v>2632.6</v>
      </c>
      <c r="AK30" s="23">
        <v>2152.9354838709678</v>
      </c>
      <c r="AL30" s="29">
        <v>3972.1429569088164</v>
      </c>
      <c r="AM30" s="6">
        <v>3942.8453173565022</v>
      </c>
      <c r="AN30" s="6">
        <v>3305.0807291222154</v>
      </c>
      <c r="AO30" s="6">
        <v>2804.4136501276621</v>
      </c>
      <c r="AP30" s="6">
        <v>2577.5024647624241</v>
      </c>
      <c r="AQ30" s="6">
        <v>2417.8501798071343</v>
      </c>
      <c r="AR30" s="6">
        <v>2533.4302414355984</v>
      </c>
      <c r="AS30" s="6">
        <v>2876.1329454715415</v>
      </c>
      <c r="AT30" s="6">
        <v>3287.9310009435944</v>
      </c>
      <c r="AU30" s="6">
        <v>3962.9541267366949</v>
      </c>
      <c r="AV30" s="6">
        <v>3989.4314558974675</v>
      </c>
      <c r="AW30" s="30">
        <v>3773.748622436457</v>
      </c>
      <c r="AX30" s="39">
        <v>3144.511214679419</v>
      </c>
      <c r="AY30" s="8">
        <v>3371.3493051607406</v>
      </c>
      <c r="AZ30" s="8">
        <v>3243.3893319613849</v>
      </c>
      <c r="BA30" s="8">
        <v>3277.2186157451442</v>
      </c>
      <c r="BB30" s="8">
        <v>3413.4609053962245</v>
      </c>
      <c r="BC30" s="8">
        <v>3334.8471001488783</v>
      </c>
      <c r="BD30" s="8">
        <v>3480.8256320662417</v>
      </c>
      <c r="BE30" s="8">
        <v>3606.256029916955</v>
      </c>
      <c r="BF30" s="8">
        <v>3473.578517921374</v>
      </c>
      <c r="BG30" s="8">
        <v>3518.2495253243783</v>
      </c>
      <c r="BH30" s="8">
        <v>3212.6379757626528</v>
      </c>
      <c r="BI30" s="40">
        <v>2942.3891358466244</v>
      </c>
      <c r="BJ30" s="49">
        <v>1878.287337513304</v>
      </c>
      <c r="BK30" s="10">
        <v>2366.6511622187627</v>
      </c>
      <c r="BL30" s="10">
        <v>2730.9766974101003</v>
      </c>
      <c r="BM30" s="10">
        <v>3249.1440486952165</v>
      </c>
      <c r="BN30" s="10">
        <v>3850.8667793624631</v>
      </c>
      <c r="BO30" s="10">
        <v>4001.1770741666273</v>
      </c>
      <c r="BP30" s="10">
        <v>4083.3712777307933</v>
      </c>
      <c r="BQ30" s="10">
        <v>3783.9262381519898</v>
      </c>
      <c r="BR30" s="10">
        <v>3111.855630732266</v>
      </c>
      <c r="BS30" s="10">
        <v>2609.8612252362464</v>
      </c>
      <c r="BT30" s="10">
        <v>2003.2836903746331</v>
      </c>
      <c r="BU30" s="50">
        <v>1682.3059341601354</v>
      </c>
      <c r="BV30" s="57">
        <v>684.32216495845876</v>
      </c>
      <c r="BW30" s="12">
        <v>911.79154701651987</v>
      </c>
      <c r="BX30" s="12">
        <v>1189.5687592138577</v>
      </c>
      <c r="BY30" s="12">
        <v>1497.7223691679194</v>
      </c>
      <c r="BZ30" s="12">
        <v>1741.8483955971815</v>
      </c>
      <c r="CA30" s="12">
        <v>1835.8247526562313</v>
      </c>
      <c r="CB30" s="12">
        <v>1794.3427601818439</v>
      </c>
      <c r="CC30" s="12">
        <v>1610.3833091516369</v>
      </c>
      <c r="CD30" s="12">
        <v>1315.1628303669761</v>
      </c>
      <c r="CE30" s="12">
        <v>1001.2053452041102</v>
      </c>
      <c r="CF30" s="12">
        <v>737.3790805814084</v>
      </c>
      <c r="CG30" s="63">
        <v>618.29441119664284</v>
      </c>
      <c r="CH30" s="71">
        <v>6260.0999999999922</v>
      </c>
      <c r="CI30" s="71">
        <v>5144.5999999999995</v>
      </c>
      <c r="CJ30" s="71">
        <v>4862.4999999999909</v>
      </c>
      <c r="CK30" s="71">
        <v>3432.4999999999973</v>
      </c>
      <c r="CL30" s="71">
        <v>1869.5999999999997</v>
      </c>
      <c r="CM30" s="71">
        <v>640.69999999999948</v>
      </c>
      <c r="CN30" s="71">
        <v>47.300000000000026</v>
      </c>
      <c r="CO30" s="71">
        <v>2.5000000000000036</v>
      </c>
      <c r="CP30" s="71">
        <v>196.90000000000003</v>
      </c>
      <c r="CQ30" s="71">
        <v>1195.6999999999985</v>
      </c>
      <c r="CR30" s="71">
        <v>3495.0000000000005</v>
      </c>
      <c r="CS30" s="71">
        <v>5716.4000000000042</v>
      </c>
      <c r="CT30" s="79">
        <v>12.899999999999988</v>
      </c>
      <c r="CU30" s="79">
        <v>36.29999999999999</v>
      </c>
      <c r="CV30" s="79">
        <v>97.000000000000028</v>
      </c>
      <c r="CW30" s="79">
        <v>198.49999999999994</v>
      </c>
      <c r="CX30" s="79">
        <v>668.10000000000059</v>
      </c>
      <c r="CY30" s="79">
        <v>2040.3999999999994</v>
      </c>
      <c r="CZ30" s="79">
        <v>3679.0000000000018</v>
      </c>
      <c r="DA30" s="79">
        <v>4161.099999999994</v>
      </c>
      <c r="DB30" s="79">
        <v>2758.7999999999961</v>
      </c>
      <c r="DC30" s="79">
        <v>968.50000000000023</v>
      </c>
      <c r="DD30" s="79">
        <v>145.1</v>
      </c>
      <c r="DE30" s="79">
        <v>18.200000000000003</v>
      </c>
      <c r="DF30" s="87">
        <v>0</v>
      </c>
      <c r="DG30" s="87">
        <v>0</v>
      </c>
      <c r="DH30" s="87">
        <v>0</v>
      </c>
      <c r="DI30" s="87">
        <v>0</v>
      </c>
      <c r="DJ30" s="87">
        <v>5.1000000000000014</v>
      </c>
      <c r="DK30" s="87">
        <v>150.70000000000002</v>
      </c>
      <c r="DL30" s="87">
        <v>421.89999999999986</v>
      </c>
      <c r="DM30" s="87">
        <v>539.50000000000023</v>
      </c>
      <c r="DN30" s="87">
        <v>357.00000000000006</v>
      </c>
      <c r="DO30" s="87">
        <v>19.100000000000009</v>
      </c>
      <c r="DP30" s="87">
        <v>0</v>
      </c>
      <c r="DQ30" s="87">
        <v>0</v>
      </c>
      <c r="DR30" s="94">
        <v>11455.200000000003</v>
      </c>
      <c r="DS30" s="94">
        <v>9812.2999999999975</v>
      </c>
      <c r="DT30" s="94">
        <v>9973.4999999999873</v>
      </c>
      <c r="DU30" s="94">
        <v>8274.0000000000073</v>
      </c>
      <c r="DV30" s="94">
        <v>6414.5999999999913</v>
      </c>
      <c r="DW30" s="94">
        <v>3791.0000000000027</v>
      </c>
      <c r="DX30" s="94">
        <v>1998.1999999999991</v>
      </c>
      <c r="DY30" s="94">
        <v>1588.899999999999</v>
      </c>
      <c r="DZ30" s="94">
        <v>2835.0999999999995</v>
      </c>
      <c r="EA30" s="94">
        <v>5454.3000000000065</v>
      </c>
      <c r="EB30" s="94">
        <v>8389.8999999999978</v>
      </c>
      <c r="EC30" s="94">
        <v>10906.199999999997</v>
      </c>
      <c r="ED30" s="224" t="s">
        <v>298</v>
      </c>
      <c r="EE30" s="542">
        <v>5.0999999999999996</v>
      </c>
      <c r="EF30" s="542">
        <v>9.8000000000000007</v>
      </c>
      <c r="EG30" s="542">
        <v>6.5</v>
      </c>
      <c r="EH30" s="542">
        <v>26.6</v>
      </c>
      <c r="EI30" s="542">
        <v>51.9</v>
      </c>
      <c r="EJ30" s="542">
        <v>60.7</v>
      </c>
      <c r="EK30" s="542">
        <v>60.7</v>
      </c>
      <c r="EL30" s="545">
        <v>3.3</v>
      </c>
      <c r="EM30" s="545">
        <v>6.3</v>
      </c>
      <c r="EN30" s="545">
        <v>10.5</v>
      </c>
      <c r="EO30" s="545">
        <v>16.899999999999999</v>
      </c>
      <c r="EP30" s="545">
        <v>39.1</v>
      </c>
      <c r="EQ30" s="545">
        <v>44.2</v>
      </c>
      <c r="ER30" s="545">
        <v>44.2</v>
      </c>
      <c r="ES30" s="533">
        <v>17.100000000000001</v>
      </c>
      <c r="ET30" s="533">
        <v>12.5</v>
      </c>
      <c r="EU30" s="537">
        <v>26.8</v>
      </c>
      <c r="EV30" s="537">
        <v>19.600000000000001</v>
      </c>
      <c r="EW30" s="540">
        <v>6.5</v>
      </c>
      <c r="EX30" s="540">
        <v>4.8</v>
      </c>
    </row>
    <row r="31" spans="1:154" hidden="1">
      <c r="A31" s="345" t="s">
        <v>333</v>
      </c>
      <c r="B31" s="96">
        <v>7.3126451612903232</v>
      </c>
      <c r="C31" s="97">
        <v>9.2417142857142824</v>
      </c>
      <c r="D31" s="97">
        <v>10.644258064516128</v>
      </c>
      <c r="E31" s="97">
        <v>12.286266666666666</v>
      </c>
      <c r="F31" s="97">
        <v>15.134064516129035</v>
      </c>
      <c r="G31" s="97">
        <v>19.172133333333338</v>
      </c>
      <c r="H31" s="97">
        <v>21.758193548387098</v>
      </c>
      <c r="I31" s="97">
        <v>21.51354838709678</v>
      </c>
      <c r="J31" s="97">
        <v>19.63546666666667</v>
      </c>
      <c r="K31" s="97">
        <v>14.857548387096774</v>
      </c>
      <c r="L31" s="97">
        <v>10.508399999999998</v>
      </c>
      <c r="M31" s="100">
        <v>8.193236559139784</v>
      </c>
      <c r="N31" s="106">
        <v>10.56</v>
      </c>
      <c r="O31" s="106">
        <v>8.32</v>
      </c>
      <c r="P31" s="106">
        <v>7.7</v>
      </c>
      <c r="Q31" s="106">
        <v>8.23</v>
      </c>
      <c r="R31" s="106">
        <v>11.27</v>
      </c>
      <c r="S31" s="106">
        <v>14.67</v>
      </c>
      <c r="T31" s="106">
        <v>17.87</v>
      </c>
      <c r="U31" s="106">
        <v>20.18</v>
      </c>
      <c r="V31" s="106">
        <v>20.86</v>
      </c>
      <c r="W31" s="106">
        <v>19.77</v>
      </c>
      <c r="X31" s="106">
        <v>17.149999999999999</v>
      </c>
      <c r="Y31" s="106">
        <v>13.85</v>
      </c>
      <c r="Z31" s="102">
        <v>1378.2258064516129</v>
      </c>
      <c r="AA31" s="4">
        <v>2046.75</v>
      </c>
      <c r="AB31" s="4">
        <v>3244.8709677419356</v>
      </c>
      <c r="AC31" s="4">
        <v>4307.6333333333332</v>
      </c>
      <c r="AD31" s="4">
        <v>4981.7419354838712</v>
      </c>
      <c r="AE31" s="4">
        <v>5724.2</v>
      </c>
      <c r="AF31" s="4">
        <v>6099.5483870967746</v>
      </c>
      <c r="AG31" s="4">
        <v>5796.3548387096771</v>
      </c>
      <c r="AH31" s="4">
        <v>4324.2333333333336</v>
      </c>
      <c r="AI31" s="4">
        <v>2653.5483870967741</v>
      </c>
      <c r="AJ31" s="4">
        <v>1652.1666666666667</v>
      </c>
      <c r="AK31" s="23">
        <v>1194.0645161290322</v>
      </c>
      <c r="AL31" s="29">
        <v>2203.1804985228168</v>
      </c>
      <c r="AM31" s="6">
        <v>2489.1321167521942</v>
      </c>
      <c r="AN31" s="6">
        <v>2897.9048807384825</v>
      </c>
      <c r="AO31" s="6">
        <v>2662.3801810373798</v>
      </c>
      <c r="AP31" s="6">
        <v>2421.4403675693002</v>
      </c>
      <c r="AQ31" s="6">
        <v>2469.3842603764974</v>
      </c>
      <c r="AR31" s="6">
        <v>2678.8104185132079</v>
      </c>
      <c r="AS31" s="6">
        <v>3154.311278497255</v>
      </c>
      <c r="AT31" s="6">
        <v>3422.8255612257249</v>
      </c>
      <c r="AU31" s="6">
        <v>3045.1356278282683</v>
      </c>
      <c r="AV31" s="6">
        <v>2544.825086244618</v>
      </c>
      <c r="AW31" s="30">
        <v>2058.8412054340529</v>
      </c>
      <c r="AX31" s="39">
        <v>1754.2085610940499</v>
      </c>
      <c r="AY31" s="8">
        <v>2124.6990859593684</v>
      </c>
      <c r="AZ31" s="8">
        <v>2779.1801731640476</v>
      </c>
      <c r="BA31" s="8">
        <v>2981.0988934146244</v>
      </c>
      <c r="BB31" s="8">
        <v>2950.416489970778</v>
      </c>
      <c r="BC31" s="8">
        <v>3144.2530294832427</v>
      </c>
      <c r="BD31" s="8">
        <v>3447.3590778804833</v>
      </c>
      <c r="BE31" s="8">
        <v>3802.0114515952487</v>
      </c>
      <c r="BF31" s="8">
        <v>3511.1808530879375</v>
      </c>
      <c r="BG31" s="8">
        <v>2669.2452374031468</v>
      </c>
      <c r="BH31" s="8">
        <v>2047.3343269649147</v>
      </c>
      <c r="BI31" s="40">
        <v>1615.0869087960432</v>
      </c>
      <c r="BJ31" s="49">
        <v>1065.1599150432887</v>
      </c>
      <c r="BK31" s="10">
        <v>1504.9462270072249</v>
      </c>
      <c r="BL31" s="10">
        <v>2286.3561795915107</v>
      </c>
      <c r="BM31" s="10">
        <v>2875.535982040471</v>
      </c>
      <c r="BN31" s="10">
        <v>3194.4628934252169</v>
      </c>
      <c r="BO31" s="10">
        <v>3619.4167172354596</v>
      </c>
      <c r="BP31" s="10">
        <v>3906.4200451528759</v>
      </c>
      <c r="BQ31" s="10">
        <v>3868.7066440647804</v>
      </c>
      <c r="BR31" s="10">
        <v>3036.2061782835976</v>
      </c>
      <c r="BS31" s="10">
        <v>1952.5881474771513</v>
      </c>
      <c r="BT31" s="10">
        <v>1275.602182496671</v>
      </c>
      <c r="BU31" s="50">
        <v>935.77573937825809</v>
      </c>
      <c r="BV31" s="57">
        <v>493.38557877905367</v>
      </c>
      <c r="BW31" s="12">
        <v>718.24519985336508</v>
      </c>
      <c r="BX31" s="12">
        <v>1061.101562834391</v>
      </c>
      <c r="BY31" s="12">
        <v>1406.1304625286596</v>
      </c>
      <c r="BZ31" s="12">
        <v>1656.272545092854</v>
      </c>
      <c r="CA31" s="12">
        <v>1807.3826123650927</v>
      </c>
      <c r="CB31" s="12">
        <v>1783.6408298884553</v>
      </c>
      <c r="CC31" s="12">
        <v>1579.3494089981364</v>
      </c>
      <c r="CD31" s="12">
        <v>1240.1186156725018</v>
      </c>
      <c r="CE31" s="12">
        <v>850.86282762332894</v>
      </c>
      <c r="CF31" s="12">
        <v>563.75010054250629</v>
      </c>
      <c r="CG31" s="63">
        <v>432.61632775926114</v>
      </c>
      <c r="CH31" s="71">
        <v>8659.8999999999942</v>
      </c>
      <c r="CI31" s="71">
        <v>6515.4000000000106</v>
      </c>
      <c r="CJ31" s="71">
        <v>6206.5000000000009</v>
      </c>
      <c r="CK31" s="71">
        <v>4867.8000000000056</v>
      </c>
      <c r="CL31" s="71">
        <v>3283.0000000000014</v>
      </c>
      <c r="CM31" s="71">
        <v>1485.2999999999997</v>
      </c>
      <c r="CN31" s="71">
        <v>717.80000000000155</v>
      </c>
      <c r="CO31" s="71">
        <v>789.19999999999982</v>
      </c>
      <c r="CP31" s="71">
        <v>1258.3999999999987</v>
      </c>
      <c r="CQ31" s="71">
        <v>3394.7999999999997</v>
      </c>
      <c r="CR31" s="71">
        <v>6095.5999999999995</v>
      </c>
      <c r="CS31" s="71">
        <v>8002.9000000000005</v>
      </c>
      <c r="CT31" s="79">
        <v>0</v>
      </c>
      <c r="CU31" s="79">
        <v>0</v>
      </c>
      <c r="CV31" s="79">
        <v>62.099999999999994</v>
      </c>
      <c r="CW31" s="79">
        <v>111.9</v>
      </c>
      <c r="CX31" s="79">
        <v>491.89999999999992</v>
      </c>
      <c r="CY31" s="79">
        <v>1701.4999999999993</v>
      </c>
      <c r="CZ31" s="79">
        <v>2873.3000000000006</v>
      </c>
      <c r="DA31" s="79">
        <v>2761.4999999999995</v>
      </c>
      <c r="DB31" s="79">
        <v>1807.2000000000005</v>
      </c>
      <c r="DC31" s="79">
        <v>382.79999999999995</v>
      </c>
      <c r="DD31" s="79">
        <v>34.70000000000001</v>
      </c>
      <c r="DE31" s="79">
        <v>0</v>
      </c>
      <c r="DF31" s="87">
        <v>0</v>
      </c>
      <c r="DG31" s="87">
        <v>0</v>
      </c>
      <c r="DH31" s="87">
        <v>0</v>
      </c>
      <c r="DI31" s="87">
        <v>0</v>
      </c>
      <c r="DJ31" s="87">
        <v>0.10000000000000142</v>
      </c>
      <c r="DK31" s="87">
        <v>178.29999999999998</v>
      </c>
      <c r="DL31" s="87">
        <v>577.10000000000014</v>
      </c>
      <c r="DM31" s="87">
        <v>583.70000000000005</v>
      </c>
      <c r="DN31" s="87">
        <v>248.99999999999997</v>
      </c>
      <c r="DO31" s="87">
        <v>9.2000000000000028</v>
      </c>
      <c r="DP31" s="87">
        <v>0</v>
      </c>
      <c r="DQ31" s="87">
        <v>0</v>
      </c>
      <c r="DR31" s="94">
        <v>13867.899999999987</v>
      </c>
      <c r="DS31" s="94">
        <v>11219.400000000009</v>
      </c>
      <c r="DT31" s="94">
        <v>11352.400000000003</v>
      </c>
      <c r="DU31" s="94">
        <v>9795.9000000000033</v>
      </c>
      <c r="DV31" s="94">
        <v>7999.2000000000016</v>
      </c>
      <c r="DW31" s="94">
        <v>5002.0999999999958</v>
      </c>
      <c r="DX31" s="94">
        <v>3629.5999999999935</v>
      </c>
      <c r="DY31" s="94">
        <v>3819.400000000001</v>
      </c>
      <c r="DZ31" s="94">
        <v>4740.2000000000053</v>
      </c>
      <c r="EA31" s="94">
        <v>8229.2000000000025</v>
      </c>
      <c r="EB31" s="94">
        <v>11100.900000000001</v>
      </c>
      <c r="EC31" s="94">
        <v>13210.89999999998</v>
      </c>
      <c r="ED31" s="224" t="s">
        <v>153</v>
      </c>
      <c r="EE31" s="542">
        <v>10.3</v>
      </c>
      <c r="EF31" s="542">
        <v>16.899999999999999</v>
      </c>
      <c r="EG31" s="542">
        <v>26.3</v>
      </c>
      <c r="EH31" s="542">
        <v>40.5</v>
      </c>
      <c r="EI31" s="542">
        <v>69.5</v>
      </c>
      <c r="EJ31" s="542">
        <v>83.4</v>
      </c>
      <c r="EK31" s="542">
        <v>83.4</v>
      </c>
      <c r="EL31" s="545">
        <v>6.9</v>
      </c>
      <c r="EM31" s="545">
        <v>11.2</v>
      </c>
      <c r="EN31" s="545">
        <v>17.5</v>
      </c>
      <c r="EO31" s="545">
        <v>26.9</v>
      </c>
      <c r="EP31" s="545">
        <v>52.3</v>
      </c>
      <c r="EQ31" s="545">
        <v>61.2</v>
      </c>
      <c r="ER31" s="545">
        <v>61.2</v>
      </c>
      <c r="ES31" s="533">
        <v>17.7</v>
      </c>
      <c r="ET31" s="533">
        <v>13</v>
      </c>
      <c r="EU31" s="537">
        <v>27.8</v>
      </c>
      <c r="EV31" s="537">
        <v>20.399999999999999</v>
      </c>
      <c r="EW31" s="540">
        <v>6.7</v>
      </c>
      <c r="EX31" s="540">
        <v>4.9000000000000004</v>
      </c>
    </row>
    <row r="32" spans="1:154" hidden="1">
      <c r="A32" s="345" t="s">
        <v>334</v>
      </c>
      <c r="B32" s="96">
        <v>7.5087741935483896</v>
      </c>
      <c r="C32" s="97">
        <v>8.4860000000000007</v>
      </c>
      <c r="D32" s="97">
        <v>9.371096774193548</v>
      </c>
      <c r="E32" s="97">
        <v>10.181333333333331</v>
      </c>
      <c r="F32" s="97">
        <v>12.667225806451611</v>
      </c>
      <c r="G32" s="97">
        <v>15.708533333333337</v>
      </c>
      <c r="H32" s="97">
        <v>17.906064516129035</v>
      </c>
      <c r="I32" s="97">
        <v>18.187483870967746</v>
      </c>
      <c r="J32" s="97">
        <v>17.307333333333339</v>
      </c>
      <c r="K32" s="97">
        <v>13.977032258064517</v>
      </c>
      <c r="L32" s="97">
        <v>10.351466666666665</v>
      </c>
      <c r="M32" s="100">
        <v>8.6511881720430104</v>
      </c>
      <c r="N32" s="106">
        <v>7.76</v>
      </c>
      <c r="O32" s="106">
        <v>8.67</v>
      </c>
      <c r="P32" s="106">
        <v>10.45</v>
      </c>
      <c r="Q32" s="106">
        <v>12.13</v>
      </c>
      <c r="R32" s="106">
        <v>15.3</v>
      </c>
      <c r="S32" s="106">
        <v>16.98</v>
      </c>
      <c r="T32" s="106">
        <v>17.440000000000001</v>
      </c>
      <c r="U32" s="106">
        <v>16.59</v>
      </c>
      <c r="V32" s="106">
        <v>14.63</v>
      </c>
      <c r="W32" s="106">
        <v>12.19</v>
      </c>
      <c r="X32" s="106">
        <v>9.7799999999999994</v>
      </c>
      <c r="Y32" s="106">
        <v>8.1999999999999993</v>
      </c>
      <c r="Z32" s="102">
        <v>1561.8387096774193</v>
      </c>
      <c r="AA32" s="4">
        <v>2178.2857142857142</v>
      </c>
      <c r="AB32" s="4">
        <v>3049.0322580645161</v>
      </c>
      <c r="AC32" s="4">
        <v>3865.4666666666667</v>
      </c>
      <c r="AD32" s="4">
        <v>4395.9032258064517</v>
      </c>
      <c r="AE32" s="4">
        <v>4717.7666666666664</v>
      </c>
      <c r="AF32" s="4">
        <v>4727.9032258064517</v>
      </c>
      <c r="AG32" s="4">
        <v>4203.9354838709678</v>
      </c>
      <c r="AH32" s="4">
        <v>3466.1</v>
      </c>
      <c r="AI32" s="4">
        <v>2495.2580645161293</v>
      </c>
      <c r="AJ32" s="4">
        <v>1758.7333333333333</v>
      </c>
      <c r="AK32" s="23">
        <v>1372.8709677419354</v>
      </c>
      <c r="AL32" s="29">
        <v>2819.7911318831152</v>
      </c>
      <c r="AM32" s="6">
        <v>2832.4772725421344</v>
      </c>
      <c r="AN32" s="6">
        <v>2753.2997480592808</v>
      </c>
      <c r="AO32" s="6">
        <v>2426.0942828232187</v>
      </c>
      <c r="AP32" s="6">
        <v>2221.716405581421</v>
      </c>
      <c r="AQ32" s="6">
        <v>2191.5332189363162</v>
      </c>
      <c r="AR32" s="6">
        <v>2258.0794147079428</v>
      </c>
      <c r="AS32" s="6">
        <v>2380.7698822747898</v>
      </c>
      <c r="AT32" s="6">
        <v>2700.2371619186624</v>
      </c>
      <c r="AU32" s="6">
        <v>2904.7340004692228</v>
      </c>
      <c r="AV32" s="6">
        <v>2947.9474292871441</v>
      </c>
      <c r="AW32" s="30">
        <v>2718.9405317282885</v>
      </c>
      <c r="AX32" s="39">
        <v>2206.8982977471151</v>
      </c>
      <c r="AY32" s="8">
        <v>2390.7950650364687</v>
      </c>
      <c r="AZ32" s="8">
        <v>2629.7984440356772</v>
      </c>
      <c r="BA32" s="8">
        <v>2679.2591457641211</v>
      </c>
      <c r="BB32" s="8">
        <v>2631.1695257030538</v>
      </c>
      <c r="BC32" s="8">
        <v>2650.5354177258073</v>
      </c>
      <c r="BD32" s="8">
        <v>2728.2910182125929</v>
      </c>
      <c r="BE32" s="8">
        <v>2735.1581242581087</v>
      </c>
      <c r="BF32" s="8">
        <v>2747.3914339551784</v>
      </c>
      <c r="BG32" s="8">
        <v>2538.3059307426956</v>
      </c>
      <c r="BH32" s="8">
        <v>2342.6916202926373</v>
      </c>
      <c r="BI32" s="40">
        <v>2094.2254250607853</v>
      </c>
      <c r="BJ32" s="49">
        <v>1265.1781660862998</v>
      </c>
      <c r="BK32" s="10">
        <v>1644.188336335953</v>
      </c>
      <c r="BL32" s="10">
        <v>2157.090229547016</v>
      </c>
      <c r="BM32" s="10">
        <v>2576.2480940052569</v>
      </c>
      <c r="BN32" s="10">
        <v>2813.956654212016</v>
      </c>
      <c r="BO32" s="10">
        <v>2972.0141654668937</v>
      </c>
      <c r="BP32" s="10">
        <v>3005.1983774472146</v>
      </c>
      <c r="BQ32" s="10">
        <v>2758.6153894227955</v>
      </c>
      <c r="BR32" s="10">
        <v>2400.8041589588011</v>
      </c>
      <c r="BS32" s="10">
        <v>1848.0888162198091</v>
      </c>
      <c r="BT32" s="10">
        <v>1404.101497741485</v>
      </c>
      <c r="BU32" s="50">
        <v>1135.2034117877963</v>
      </c>
      <c r="BV32" s="57">
        <v>506.14980598884239</v>
      </c>
      <c r="BW32" s="12">
        <v>722.76196300823517</v>
      </c>
      <c r="BX32" s="12">
        <v>1025.0629928033807</v>
      </c>
      <c r="BY32" s="12">
        <v>1346.3236168357223</v>
      </c>
      <c r="BZ32" s="12">
        <v>1582.5942984150977</v>
      </c>
      <c r="CA32" s="12">
        <v>1700.3851831407471</v>
      </c>
      <c r="CB32" s="12">
        <v>1664.046605684234</v>
      </c>
      <c r="CC32" s="12">
        <v>1454.4948334508726</v>
      </c>
      <c r="CD32" s="12">
        <v>1154.7274621274241</v>
      </c>
      <c r="CE32" s="12">
        <v>817.84497557165378</v>
      </c>
      <c r="CF32" s="12">
        <v>562.50245923229795</v>
      </c>
      <c r="CG32" s="63">
        <v>446.14960936330698</v>
      </c>
      <c r="CH32" s="71">
        <v>8516.5000000000146</v>
      </c>
      <c r="CI32" s="71">
        <v>7026.699999999998</v>
      </c>
      <c r="CJ32" s="71">
        <v>7109.1000000000095</v>
      </c>
      <c r="CK32" s="71">
        <v>6300.3000000000011</v>
      </c>
      <c r="CL32" s="71">
        <v>4670.3999999999978</v>
      </c>
      <c r="CM32" s="71">
        <v>2590.0999999999976</v>
      </c>
      <c r="CN32" s="71">
        <v>1499.7999999999986</v>
      </c>
      <c r="CO32" s="71">
        <v>1305.300000000002</v>
      </c>
      <c r="CP32" s="71">
        <v>1783.899999999998</v>
      </c>
      <c r="CQ32" s="71">
        <v>3746.6000000000031</v>
      </c>
      <c r="CR32" s="71">
        <v>6187.1000000000058</v>
      </c>
      <c r="CS32" s="71">
        <v>7667.0999999999958</v>
      </c>
      <c r="CT32" s="79">
        <v>0</v>
      </c>
      <c r="CU32" s="79">
        <v>0</v>
      </c>
      <c r="CV32" s="79">
        <v>0</v>
      </c>
      <c r="CW32" s="79">
        <v>4.1999999999999957</v>
      </c>
      <c r="CX32" s="79">
        <v>20.699999999999989</v>
      </c>
      <c r="CY32" s="79">
        <v>276.20000000000005</v>
      </c>
      <c r="CZ32" s="79">
        <v>752.9000000000002</v>
      </c>
      <c r="DA32" s="79">
        <v>758.59999999999991</v>
      </c>
      <c r="DB32" s="79">
        <v>624.80000000000007</v>
      </c>
      <c r="DC32" s="79">
        <v>61.6</v>
      </c>
      <c r="DD32" s="79">
        <v>1.7999999999999972</v>
      </c>
      <c r="DE32" s="79">
        <v>0</v>
      </c>
      <c r="DF32" s="87">
        <v>0</v>
      </c>
      <c r="DG32" s="87">
        <v>0</v>
      </c>
      <c r="DH32" s="87">
        <v>0</v>
      </c>
      <c r="DI32" s="87">
        <v>0</v>
      </c>
      <c r="DJ32" s="87">
        <v>0</v>
      </c>
      <c r="DK32" s="87">
        <v>0</v>
      </c>
      <c r="DL32" s="87">
        <v>9.0000000000000071</v>
      </c>
      <c r="DM32" s="87">
        <v>0</v>
      </c>
      <c r="DN32" s="87">
        <v>1.6000000000000014</v>
      </c>
      <c r="DO32" s="87">
        <v>0</v>
      </c>
      <c r="DP32" s="87">
        <v>0</v>
      </c>
      <c r="DQ32" s="87">
        <v>0</v>
      </c>
      <c r="DR32" s="94">
        <v>13724.500000000016</v>
      </c>
      <c r="DS32" s="94">
        <v>11730.700000000012</v>
      </c>
      <c r="DT32" s="94">
        <v>12317.100000000011</v>
      </c>
      <c r="DU32" s="94">
        <v>11336.100000000009</v>
      </c>
      <c r="DV32" s="94">
        <v>9857.7000000000153</v>
      </c>
      <c r="DW32" s="94">
        <v>7353.9000000000033</v>
      </c>
      <c r="DX32" s="94">
        <v>5963.9000000000042</v>
      </c>
      <c r="DY32" s="94">
        <v>5754.6999999999935</v>
      </c>
      <c r="DZ32" s="94">
        <v>6200.7000000000135</v>
      </c>
      <c r="EA32" s="94">
        <v>8892.9999999999945</v>
      </c>
      <c r="EB32" s="94">
        <v>11225.300000000003</v>
      </c>
      <c r="EC32" s="94">
        <v>12875.099999999979</v>
      </c>
      <c r="ED32" s="224" t="s">
        <v>296</v>
      </c>
      <c r="EE32" s="542">
        <v>10.4</v>
      </c>
      <c r="EF32" s="542">
        <v>17</v>
      </c>
      <c r="EG32" s="542">
        <v>26.4</v>
      </c>
      <c r="EH32" s="542">
        <v>40.6</v>
      </c>
      <c r="EI32" s="542">
        <v>77.7</v>
      </c>
      <c r="EJ32" s="542">
        <v>95.6</v>
      </c>
      <c r="EK32" s="542">
        <v>95.6</v>
      </c>
      <c r="EL32" s="545">
        <v>6</v>
      </c>
      <c r="EM32" s="545">
        <v>9.8000000000000007</v>
      </c>
      <c r="EN32" s="545">
        <v>15.1</v>
      </c>
      <c r="EO32" s="545">
        <v>23.2</v>
      </c>
      <c r="EP32" s="545">
        <v>48</v>
      </c>
      <c r="EQ32" s="545">
        <v>57.6</v>
      </c>
      <c r="ER32" s="545">
        <v>57.6</v>
      </c>
      <c r="ES32" s="533">
        <v>18.100000000000001</v>
      </c>
      <c r="ET32" s="533">
        <v>13.3</v>
      </c>
      <c r="EU32" s="537">
        <v>28.4</v>
      </c>
      <c r="EV32" s="537">
        <v>20.9</v>
      </c>
      <c r="EW32" s="540">
        <v>6.9</v>
      </c>
      <c r="EX32" s="540">
        <v>5.0999999999999996</v>
      </c>
    </row>
    <row r="33" spans="1:154" hidden="1">
      <c r="A33" s="345" t="s">
        <v>335</v>
      </c>
      <c r="B33" s="96">
        <v>4.1110967741935482</v>
      </c>
      <c r="C33" s="97">
        <v>5.5585714285714269</v>
      </c>
      <c r="D33" s="97">
        <v>7.4042580645161307</v>
      </c>
      <c r="E33" s="97">
        <v>9.3617333333333352</v>
      </c>
      <c r="F33" s="97">
        <v>12.956</v>
      </c>
      <c r="G33" s="97">
        <v>17.069599999999998</v>
      </c>
      <c r="H33" s="97">
        <v>20.513161290322586</v>
      </c>
      <c r="I33" s="97">
        <v>20.186838709677424</v>
      </c>
      <c r="J33" s="97">
        <v>17.804399999999998</v>
      </c>
      <c r="K33" s="97">
        <v>12.955741935483868</v>
      </c>
      <c r="L33" s="97">
        <v>7.5435999999999996</v>
      </c>
      <c r="M33" s="100">
        <v>4.3698494623655906</v>
      </c>
      <c r="N33" s="106">
        <v>4.96</v>
      </c>
      <c r="O33" s="106">
        <v>4.29</v>
      </c>
      <c r="P33" s="106">
        <v>5.47</v>
      </c>
      <c r="Q33" s="106">
        <v>7.33</v>
      </c>
      <c r="R33" s="106">
        <v>12.17</v>
      </c>
      <c r="S33" s="106">
        <v>15.91</v>
      </c>
      <c r="T33" s="106">
        <v>18.43</v>
      </c>
      <c r="U33" s="106">
        <v>19.190000000000001</v>
      </c>
      <c r="V33" s="106">
        <v>17.89</v>
      </c>
      <c r="W33" s="106">
        <v>14.99</v>
      </c>
      <c r="X33" s="106">
        <v>11.11</v>
      </c>
      <c r="Y33" s="106">
        <v>7.51</v>
      </c>
      <c r="Z33" s="102">
        <v>1621.0645161290322</v>
      </c>
      <c r="AA33" s="4">
        <v>2667.1428571428573</v>
      </c>
      <c r="AB33" s="4">
        <v>3746.6129032258063</v>
      </c>
      <c r="AC33" s="4">
        <v>4956.5666666666666</v>
      </c>
      <c r="AD33" s="4">
        <v>6195</v>
      </c>
      <c r="AE33" s="4">
        <v>6973</v>
      </c>
      <c r="AF33" s="4">
        <v>7526.8387096774195</v>
      </c>
      <c r="AG33" s="4">
        <v>6671.7096774193551</v>
      </c>
      <c r="AH33" s="4">
        <v>4743.7666666666664</v>
      </c>
      <c r="AI33" s="4">
        <v>3200.483870967742</v>
      </c>
      <c r="AJ33" s="4">
        <v>2092.3666666666668</v>
      </c>
      <c r="AK33" s="23">
        <v>1337.0645161290322</v>
      </c>
      <c r="AL33" s="29">
        <v>2750.8671301006684</v>
      </c>
      <c r="AM33" s="6">
        <v>3559.2412228944077</v>
      </c>
      <c r="AN33" s="6">
        <v>3442.0941388055967</v>
      </c>
      <c r="AO33" s="6">
        <v>3053.2661635522422</v>
      </c>
      <c r="AP33" s="6">
        <v>2855.3110940509209</v>
      </c>
      <c r="AQ33" s="6">
        <v>2785.2193250250311</v>
      </c>
      <c r="AR33" s="6">
        <v>3065.1297233230175</v>
      </c>
      <c r="AS33" s="6">
        <v>3560.8765549631553</v>
      </c>
      <c r="AT33" s="6">
        <v>3787.2537117203392</v>
      </c>
      <c r="AU33" s="6">
        <v>3884.9834583169891</v>
      </c>
      <c r="AV33" s="6">
        <v>3531.6302720573121</v>
      </c>
      <c r="AW33" s="30">
        <v>2390.7972899565311</v>
      </c>
      <c r="AX33" s="39">
        <v>2170.3654602592633</v>
      </c>
      <c r="AY33" s="8">
        <v>2993.4956241491655</v>
      </c>
      <c r="AZ33" s="8">
        <v>3296.613292775241</v>
      </c>
      <c r="BA33" s="8">
        <v>3467.1940661636445</v>
      </c>
      <c r="BB33" s="8">
        <v>3645.6452258308627</v>
      </c>
      <c r="BC33" s="8">
        <v>3755.4593900434134</v>
      </c>
      <c r="BD33" s="8">
        <v>4189.8504205994313</v>
      </c>
      <c r="BE33" s="8">
        <v>4396.2130696302102</v>
      </c>
      <c r="BF33" s="8">
        <v>3897.8092449271153</v>
      </c>
      <c r="BG33" s="8">
        <v>3377.7951544225571</v>
      </c>
      <c r="BH33" s="8">
        <v>2802.3836269787298</v>
      </c>
      <c r="BI33" s="40">
        <v>1865.1985558806434</v>
      </c>
      <c r="BJ33" s="49">
        <v>1279.7469730106668</v>
      </c>
      <c r="BK33" s="10">
        <v>2029.4831067720479</v>
      </c>
      <c r="BL33" s="10">
        <v>2675.177933410931</v>
      </c>
      <c r="BM33" s="10">
        <v>3339.4132839703339</v>
      </c>
      <c r="BN33" s="10">
        <v>4013.920466399366</v>
      </c>
      <c r="BO33" s="10">
        <v>4439.8387193857434</v>
      </c>
      <c r="BP33" s="10">
        <v>4864.6672209170838</v>
      </c>
      <c r="BQ33" s="10">
        <v>4491.5211082245023</v>
      </c>
      <c r="BR33" s="10">
        <v>3353.3339514695908</v>
      </c>
      <c r="BS33" s="10">
        <v>2406.9311622510049</v>
      </c>
      <c r="BT33" s="10">
        <v>1670.9826170584984</v>
      </c>
      <c r="BU33" s="50">
        <v>1061.2654278609562</v>
      </c>
      <c r="BV33" s="57">
        <v>533.97035819621306</v>
      </c>
      <c r="BW33" s="12">
        <v>794.8200110321319</v>
      </c>
      <c r="BX33" s="12">
        <v>1111.3392067206432</v>
      </c>
      <c r="BY33" s="12">
        <v>1461.6844453537519</v>
      </c>
      <c r="BZ33" s="12">
        <v>1739.5695590197058</v>
      </c>
      <c r="CA33" s="12">
        <v>1859.7142729326517</v>
      </c>
      <c r="CB33" s="12">
        <v>1788.7939121841976</v>
      </c>
      <c r="CC33" s="12">
        <v>1575.6662842733317</v>
      </c>
      <c r="CD33" s="12">
        <v>1260.1111840652275</v>
      </c>
      <c r="CE33" s="12">
        <v>900.30558759002952</v>
      </c>
      <c r="CF33" s="12">
        <v>618.07218177926245</v>
      </c>
      <c r="CG33" s="63">
        <v>460.15082029869598</v>
      </c>
      <c r="CH33" s="71">
        <v>11049.699999999986</v>
      </c>
      <c r="CI33" s="71">
        <v>9001.6999999999971</v>
      </c>
      <c r="CJ33" s="71">
        <v>8577.5</v>
      </c>
      <c r="CK33" s="71">
        <v>6882.9000000000005</v>
      </c>
      <c r="CL33" s="71">
        <v>4512.2000000000044</v>
      </c>
      <c r="CM33" s="71">
        <v>2145.2000000000021</v>
      </c>
      <c r="CN33" s="71">
        <v>953.5999999999998</v>
      </c>
      <c r="CO33" s="71">
        <v>991.10000000000082</v>
      </c>
      <c r="CP33" s="71">
        <v>1741.5999999999985</v>
      </c>
      <c r="CQ33" s="71">
        <v>4584.5000000000027</v>
      </c>
      <c r="CR33" s="71">
        <v>8204.3000000000175</v>
      </c>
      <c r="CS33" s="71">
        <v>10856.100000000015</v>
      </c>
      <c r="CT33" s="79">
        <v>0</v>
      </c>
      <c r="CU33" s="79">
        <v>0</v>
      </c>
      <c r="CV33" s="79">
        <v>0</v>
      </c>
      <c r="CW33" s="79">
        <v>0.79999999999999716</v>
      </c>
      <c r="CX33" s="79">
        <v>85.700000000000017</v>
      </c>
      <c r="CY33" s="79">
        <v>836.2</v>
      </c>
      <c r="CZ33" s="79">
        <v>2180.7999999999988</v>
      </c>
      <c r="DA33" s="79">
        <v>1967.3000000000009</v>
      </c>
      <c r="DB33" s="79">
        <v>953.19999999999982</v>
      </c>
      <c r="DC33" s="79">
        <v>150.30000000000001</v>
      </c>
      <c r="DD33" s="79">
        <v>0</v>
      </c>
      <c r="DE33" s="79">
        <v>0</v>
      </c>
      <c r="DF33" s="87">
        <v>0</v>
      </c>
      <c r="DG33" s="87">
        <v>0</v>
      </c>
      <c r="DH33" s="87">
        <v>0</v>
      </c>
      <c r="DI33" s="87">
        <v>0</v>
      </c>
      <c r="DJ33" s="87">
        <v>0</v>
      </c>
      <c r="DK33" s="87">
        <v>23.800000000000008</v>
      </c>
      <c r="DL33" s="87">
        <v>281.19999999999987</v>
      </c>
      <c r="DM33" s="87">
        <v>228.89999999999989</v>
      </c>
      <c r="DN33" s="87">
        <v>39.900000000000006</v>
      </c>
      <c r="DO33" s="87">
        <v>0</v>
      </c>
      <c r="DP33" s="87">
        <v>0</v>
      </c>
      <c r="DQ33" s="87">
        <v>0</v>
      </c>
      <c r="DR33" s="94">
        <v>16257.69999999999</v>
      </c>
      <c r="DS33" s="94">
        <v>13705.700000000006</v>
      </c>
      <c r="DT33" s="94">
        <v>13785.49999999998</v>
      </c>
      <c r="DU33" s="94">
        <v>11922.100000000002</v>
      </c>
      <c r="DV33" s="94">
        <v>9634.4999999999854</v>
      </c>
      <c r="DW33" s="94">
        <v>6372.799999999992</v>
      </c>
      <c r="DX33" s="94">
        <v>4262.0000000000045</v>
      </c>
      <c r="DY33" s="94">
        <v>4460.6999999999962</v>
      </c>
      <c r="DZ33" s="94">
        <v>5868.300000000002</v>
      </c>
      <c r="EA33" s="94">
        <v>9642.200000000008</v>
      </c>
      <c r="EB33" s="94">
        <v>13244.30000000003</v>
      </c>
      <c r="EC33" s="94">
        <v>16064.100000000017</v>
      </c>
      <c r="ED33" s="224" t="s">
        <v>306</v>
      </c>
      <c r="EE33" s="542">
        <v>13.9</v>
      </c>
      <c r="EF33" s="542">
        <v>21.2</v>
      </c>
      <c r="EG33" s="542">
        <v>31.7</v>
      </c>
      <c r="EH33" s="542">
        <v>47.4</v>
      </c>
      <c r="EI33" s="542">
        <v>93.6</v>
      </c>
      <c r="EJ33" s="542">
        <v>115.1</v>
      </c>
      <c r="EK33" s="542">
        <v>115.1</v>
      </c>
      <c r="EL33" s="545">
        <v>10</v>
      </c>
      <c r="EM33" s="545">
        <v>15.4</v>
      </c>
      <c r="EN33" s="545">
        <v>23</v>
      </c>
      <c r="EO33" s="545">
        <v>34.299999999999997</v>
      </c>
      <c r="EP33" s="545">
        <v>62</v>
      </c>
      <c r="EQ33" s="545">
        <v>74.400000000000006</v>
      </c>
      <c r="ER33" s="545">
        <v>74.400000000000006</v>
      </c>
      <c r="ES33" s="533">
        <v>18.399999999999999</v>
      </c>
      <c r="ET33" s="533">
        <v>13.5</v>
      </c>
      <c r="EU33" s="537">
        <v>28.9</v>
      </c>
      <c r="EV33" s="537">
        <v>21.2</v>
      </c>
      <c r="EW33" s="540">
        <v>7</v>
      </c>
      <c r="EX33" s="540">
        <v>5.0999999999999996</v>
      </c>
    </row>
    <row r="34" spans="1:154" hidden="1">
      <c r="A34" s="345" t="s">
        <v>473</v>
      </c>
      <c r="B34" s="96">
        <v>9.2750967741935462</v>
      </c>
      <c r="C34" s="97">
        <v>10.809142857142858</v>
      </c>
      <c r="D34" s="97">
        <v>10.657161290322579</v>
      </c>
      <c r="E34" s="97">
        <v>13.390266666666667</v>
      </c>
      <c r="F34" s="97">
        <v>17.3701935483871</v>
      </c>
      <c r="G34" s="97">
        <v>21.044933333333333</v>
      </c>
      <c r="H34" s="97">
        <v>25.291612903225815</v>
      </c>
      <c r="I34" s="97">
        <v>25.006451612903227</v>
      </c>
      <c r="J34" s="97">
        <v>22.307333333333336</v>
      </c>
      <c r="K34" s="97">
        <v>18.64890322580645</v>
      </c>
      <c r="L34" s="97">
        <v>13.856</v>
      </c>
      <c r="M34" s="100">
        <v>10.93081182795699</v>
      </c>
      <c r="N34" s="106">
        <v>10.11</v>
      </c>
      <c r="O34" s="106">
        <v>9.5</v>
      </c>
      <c r="P34" s="106">
        <v>10.72</v>
      </c>
      <c r="Q34" s="106">
        <v>13.54</v>
      </c>
      <c r="R34" s="106">
        <v>17.21</v>
      </c>
      <c r="S34" s="106">
        <v>20.73</v>
      </c>
      <c r="T34" s="106">
        <v>23.15</v>
      </c>
      <c r="U34" s="106">
        <v>23.82</v>
      </c>
      <c r="V34" s="106">
        <v>22.54</v>
      </c>
      <c r="W34" s="106">
        <v>19.68</v>
      </c>
      <c r="X34" s="106">
        <v>16</v>
      </c>
      <c r="Y34" s="106">
        <v>12.51</v>
      </c>
      <c r="Z34" s="102">
        <v>2217.5806451612902</v>
      </c>
      <c r="AA34" s="4">
        <v>3019.8571428571427</v>
      </c>
      <c r="AB34" s="4">
        <v>4186.1935483870966</v>
      </c>
      <c r="AC34" s="4">
        <v>5481.9666666666662</v>
      </c>
      <c r="AD34" s="4">
        <v>6165.5483870967746</v>
      </c>
      <c r="AE34" s="4">
        <v>7051.7333333333336</v>
      </c>
      <c r="AF34" s="4">
        <v>7222.0645161290322</v>
      </c>
      <c r="AG34" s="4">
        <v>6369.5161290322585</v>
      </c>
      <c r="AH34" s="4">
        <v>4903.6333333333332</v>
      </c>
      <c r="AI34" s="4">
        <v>3363.3225806451615</v>
      </c>
      <c r="AJ34" s="4">
        <v>2159.0666666666666</v>
      </c>
      <c r="AK34" s="23">
        <v>1901.0645161290322</v>
      </c>
      <c r="AL34" s="29">
        <v>3799.6846709516694</v>
      </c>
      <c r="AM34" s="6">
        <v>3832.8393431545596</v>
      </c>
      <c r="AN34" s="6">
        <v>3690.3633615072022</v>
      </c>
      <c r="AO34" s="6">
        <v>3201.351703410674</v>
      </c>
      <c r="AP34" s="6">
        <v>2700.4653673365015</v>
      </c>
      <c r="AQ34" s="6">
        <v>2645.0694257699874</v>
      </c>
      <c r="AR34" s="6">
        <v>2808.390973794923</v>
      </c>
      <c r="AS34" s="6">
        <v>3221.1769114448362</v>
      </c>
      <c r="AT34" s="6">
        <v>3693.3119607896469</v>
      </c>
      <c r="AU34" s="6">
        <v>3804.8624928904756</v>
      </c>
      <c r="AV34" s="6">
        <v>3262.7368854629981</v>
      </c>
      <c r="AW34" s="30">
        <v>3471.1347348524864</v>
      </c>
      <c r="AX34" s="39">
        <v>2989.3227064835505</v>
      </c>
      <c r="AY34" s="8">
        <v>3252.6026212758456</v>
      </c>
      <c r="AZ34" s="8">
        <v>3579.7227651552521</v>
      </c>
      <c r="BA34" s="8">
        <v>3734.5723025705192</v>
      </c>
      <c r="BB34" s="8">
        <v>3524.9269226481651</v>
      </c>
      <c r="BC34" s="8">
        <v>3686.9768291972914</v>
      </c>
      <c r="BD34" s="8">
        <v>3907.70510520168</v>
      </c>
      <c r="BE34" s="8">
        <v>4036.3869707732738</v>
      </c>
      <c r="BF34" s="8">
        <v>3863.9192446326729</v>
      </c>
      <c r="BG34" s="8">
        <v>3352.34275930278</v>
      </c>
      <c r="BH34" s="8">
        <v>2630.2223926485326</v>
      </c>
      <c r="BI34" s="40">
        <v>2694.5859519290211</v>
      </c>
      <c r="BJ34" s="49">
        <v>1748.4878629823843</v>
      </c>
      <c r="BK34" s="10">
        <v>2247.031426164056</v>
      </c>
      <c r="BL34" s="10">
        <v>2943.7062888749251</v>
      </c>
      <c r="BM34" s="10">
        <v>3652.7569477344027</v>
      </c>
      <c r="BN34" s="10">
        <v>3937.3377661257896</v>
      </c>
      <c r="BO34" s="10">
        <v>4433.9464817947519</v>
      </c>
      <c r="BP34" s="10">
        <v>4590.2763192636694</v>
      </c>
      <c r="BQ34" s="10">
        <v>4193.9173758672569</v>
      </c>
      <c r="BR34" s="10">
        <v>3391.2752546928577</v>
      </c>
      <c r="BS34" s="10">
        <v>2455.492411176494</v>
      </c>
      <c r="BT34" s="10">
        <v>1647.2881762615987</v>
      </c>
      <c r="BU34" s="50">
        <v>1513.5433849332298</v>
      </c>
      <c r="BV34" s="57">
        <v>634.90239123848505</v>
      </c>
      <c r="BW34" s="12">
        <v>865.34512822939212</v>
      </c>
      <c r="BX34" s="12">
        <v>1175.7581925662873</v>
      </c>
      <c r="BY34" s="12">
        <v>1508.4480202117313</v>
      </c>
      <c r="BZ34" s="12">
        <v>1742.9463750624543</v>
      </c>
      <c r="CA34" s="12">
        <v>1853.5252937519169</v>
      </c>
      <c r="CB34" s="12">
        <v>1797.8110607462852</v>
      </c>
      <c r="CC34" s="12">
        <v>1603.9789762835999</v>
      </c>
      <c r="CD34" s="12">
        <v>1301.6339181006292</v>
      </c>
      <c r="CE34" s="12">
        <v>955.27750990254754</v>
      </c>
      <c r="CF34" s="12">
        <v>667.90188173677609</v>
      </c>
      <c r="CG34" s="63">
        <v>565.12647515113304</v>
      </c>
      <c r="CH34" s="71">
        <v>7159.1000000000058</v>
      </c>
      <c r="CI34" s="71">
        <v>5460.9000000000033</v>
      </c>
      <c r="CJ34" s="71">
        <v>6127.2999999999993</v>
      </c>
      <c r="CK34" s="71">
        <v>4117.1000000000031</v>
      </c>
      <c r="CL34" s="71">
        <v>2036.1999999999994</v>
      </c>
      <c r="CM34" s="71">
        <v>719.89999999999975</v>
      </c>
      <c r="CN34" s="71">
        <v>62.1</v>
      </c>
      <c r="CO34" s="71">
        <v>45.599999999999994</v>
      </c>
      <c r="CP34" s="71">
        <v>349.19999999999987</v>
      </c>
      <c r="CQ34" s="71">
        <v>1147.4000000000008</v>
      </c>
      <c r="CR34" s="71">
        <v>3787.3999999999996</v>
      </c>
      <c r="CS34" s="71">
        <v>5953.0000000000055</v>
      </c>
      <c r="CT34" s="79">
        <v>4</v>
      </c>
      <c r="CU34" s="79">
        <v>15.600000000000001</v>
      </c>
      <c r="CV34" s="79">
        <v>21</v>
      </c>
      <c r="CW34" s="79">
        <v>181.30000000000007</v>
      </c>
      <c r="CX34" s="79">
        <v>933.9000000000002</v>
      </c>
      <c r="CY34" s="79">
        <v>2301.4</v>
      </c>
      <c r="CZ34" s="79">
        <v>4834.8999999999969</v>
      </c>
      <c r="DA34" s="79">
        <v>4612.3000000000011</v>
      </c>
      <c r="DB34" s="79">
        <v>2805.3999999999987</v>
      </c>
      <c r="DC34" s="79">
        <v>959.4000000000002</v>
      </c>
      <c r="DD34" s="79">
        <v>161.89999999999998</v>
      </c>
      <c r="DE34" s="79">
        <v>3.1999999999999993</v>
      </c>
      <c r="DF34" s="87">
        <v>0</v>
      </c>
      <c r="DG34" s="87">
        <v>0</v>
      </c>
      <c r="DH34" s="87">
        <v>0</v>
      </c>
      <c r="DI34" s="87">
        <v>0</v>
      </c>
      <c r="DJ34" s="87">
        <v>3.3999999999999986</v>
      </c>
      <c r="DK34" s="87">
        <v>194.3</v>
      </c>
      <c r="DL34" s="87">
        <v>1030.6000000000004</v>
      </c>
      <c r="DM34" s="87">
        <v>967.9</v>
      </c>
      <c r="DN34" s="87">
        <v>199.50000000000003</v>
      </c>
      <c r="DO34" s="87">
        <v>10.400000000000002</v>
      </c>
      <c r="DP34" s="87">
        <v>0</v>
      </c>
      <c r="DQ34" s="87">
        <v>0</v>
      </c>
      <c r="DR34" s="94">
        <v>12363.099999999999</v>
      </c>
      <c r="DS34" s="94">
        <v>10149.300000000007</v>
      </c>
      <c r="DT34" s="94">
        <v>11314.300000000001</v>
      </c>
      <c r="DU34" s="94">
        <v>8975.7999999999993</v>
      </c>
      <c r="DV34" s="94">
        <v>6313.6999999999971</v>
      </c>
      <c r="DW34" s="94">
        <v>3652.7999999999997</v>
      </c>
      <c r="DX34" s="94">
        <v>1465.8</v>
      </c>
      <c r="DY34" s="94">
        <v>1609.2</v>
      </c>
      <c r="DZ34" s="94">
        <v>2783.3</v>
      </c>
      <c r="EA34" s="94">
        <v>5406.4</v>
      </c>
      <c r="EB34" s="94">
        <v>8665.5000000000036</v>
      </c>
      <c r="EC34" s="94">
        <v>11157.800000000001</v>
      </c>
      <c r="ED34" s="224" t="s">
        <v>298</v>
      </c>
      <c r="EE34" s="542">
        <v>6.2</v>
      </c>
      <c r="EF34" s="542">
        <v>11.8</v>
      </c>
      <c r="EG34" s="542">
        <v>19.899999999999999</v>
      </c>
      <c r="EH34" s="542">
        <v>32</v>
      </c>
      <c r="EI34" s="542">
        <v>65.099999999999994</v>
      </c>
      <c r="EJ34" s="542">
        <v>76.2</v>
      </c>
      <c r="EK34" s="542">
        <v>76.2</v>
      </c>
      <c r="EL34" s="545">
        <v>4</v>
      </c>
      <c r="EM34" s="545">
        <v>7.6</v>
      </c>
      <c r="EN34" s="545">
        <v>12.7</v>
      </c>
      <c r="EO34" s="545">
        <v>20.5</v>
      </c>
      <c r="EP34" s="545">
        <v>45.8</v>
      </c>
      <c r="EQ34" s="545">
        <v>51.8</v>
      </c>
      <c r="ER34" s="545">
        <v>51.8</v>
      </c>
      <c r="ES34" s="533">
        <v>16.899999999999999</v>
      </c>
      <c r="ET34" s="533">
        <v>12.4</v>
      </c>
      <c r="EU34" s="537">
        <v>27.9</v>
      </c>
      <c r="EV34" s="537">
        <v>20.5</v>
      </c>
      <c r="EW34" s="540">
        <v>7.6</v>
      </c>
      <c r="EX34" s="540">
        <v>5.6</v>
      </c>
    </row>
    <row r="35" spans="1:154" hidden="1">
      <c r="A35" s="345" t="s">
        <v>336</v>
      </c>
      <c r="B35" s="96">
        <v>4.4974193548387102</v>
      </c>
      <c r="C35" s="97">
        <v>6.4494285714285713</v>
      </c>
      <c r="D35" s="97">
        <v>7.9148387096774195</v>
      </c>
      <c r="E35" s="97">
        <v>9.8057333333333307</v>
      </c>
      <c r="F35" s="97">
        <v>13.155096774193549</v>
      </c>
      <c r="G35" s="97">
        <v>17.172133333333328</v>
      </c>
      <c r="H35" s="97">
        <v>20.315612903225805</v>
      </c>
      <c r="I35" s="97">
        <v>20.175612903225804</v>
      </c>
      <c r="J35" s="97">
        <v>18.05</v>
      </c>
      <c r="K35" s="97">
        <v>13.612129032258066</v>
      </c>
      <c r="L35" s="97">
        <v>8.2725333333333353</v>
      </c>
      <c r="M35" s="100">
        <v>5.6574623655913987</v>
      </c>
      <c r="N35" s="106">
        <v>5.66</v>
      </c>
      <c r="O35" s="106">
        <v>5.01</v>
      </c>
      <c r="P35" s="106">
        <v>6.15</v>
      </c>
      <c r="Q35" s="106">
        <v>7.94</v>
      </c>
      <c r="R35" s="106">
        <v>12.6</v>
      </c>
      <c r="S35" s="106">
        <v>16.21</v>
      </c>
      <c r="T35" s="106">
        <v>18.63</v>
      </c>
      <c r="U35" s="106">
        <v>19.37</v>
      </c>
      <c r="V35" s="106">
        <v>18.11</v>
      </c>
      <c r="W35" s="106">
        <v>15.32</v>
      </c>
      <c r="X35" s="106">
        <v>11.58</v>
      </c>
      <c r="Y35" s="106">
        <v>8.11</v>
      </c>
      <c r="Z35" s="102">
        <v>1461.2903225806451</v>
      </c>
      <c r="AA35" s="4">
        <v>2295.9642857142858</v>
      </c>
      <c r="AB35" s="4">
        <v>3435.0967741935483</v>
      </c>
      <c r="AC35" s="4">
        <v>4230.8</v>
      </c>
      <c r="AD35" s="4">
        <v>5188.7419354838712</v>
      </c>
      <c r="AE35" s="4">
        <v>6315.6333333333332</v>
      </c>
      <c r="AF35" s="4">
        <v>6727.1290322580644</v>
      </c>
      <c r="AG35" s="4">
        <v>5858.2580645161288</v>
      </c>
      <c r="AH35" s="4">
        <v>4586.333333333333</v>
      </c>
      <c r="AI35" s="4">
        <v>2948.2903225806454</v>
      </c>
      <c r="AJ35" s="4">
        <v>1782.7333333333333</v>
      </c>
      <c r="AK35" s="23">
        <v>1302.258064516129</v>
      </c>
      <c r="AL35" s="29">
        <v>2464.6244317793953</v>
      </c>
      <c r="AM35" s="6">
        <v>2976.0367199737161</v>
      </c>
      <c r="AN35" s="6">
        <v>3150.5552337259019</v>
      </c>
      <c r="AO35" s="6">
        <v>2634.9758817035618</v>
      </c>
      <c r="AP35" s="6">
        <v>2520.3609795441375</v>
      </c>
      <c r="AQ35" s="6">
        <v>2658.5153824594154</v>
      </c>
      <c r="AR35" s="6">
        <v>2895.3294564456846</v>
      </c>
      <c r="AS35" s="6">
        <v>3215.5312304374779</v>
      </c>
      <c r="AT35" s="6">
        <v>3711.0801974648912</v>
      </c>
      <c r="AU35" s="6">
        <v>3571.4943052231965</v>
      </c>
      <c r="AV35" s="6">
        <v>2910.8610733219111</v>
      </c>
      <c r="AW35" s="30">
        <v>2413.0185997210392</v>
      </c>
      <c r="AX35" s="39">
        <v>1947.084959651339</v>
      </c>
      <c r="AY35" s="8">
        <v>2513.7267561017811</v>
      </c>
      <c r="AZ35" s="8">
        <v>3010.3305227056212</v>
      </c>
      <c r="BA35" s="8">
        <v>2939.3328496544832</v>
      </c>
      <c r="BB35" s="8">
        <v>3085.4097749896405</v>
      </c>
      <c r="BC35" s="8">
        <v>3457.9989598211673</v>
      </c>
      <c r="BD35" s="8">
        <v>3802.7036786144663</v>
      </c>
      <c r="BE35" s="8">
        <v>3868.9501285311394</v>
      </c>
      <c r="BF35" s="8">
        <v>3800.3641876412039</v>
      </c>
      <c r="BG35" s="8">
        <v>3103.9116119376736</v>
      </c>
      <c r="BH35" s="8">
        <v>2321.5931929619201</v>
      </c>
      <c r="BI35" s="40">
        <v>1874.2934594726448</v>
      </c>
      <c r="BJ35" s="49">
        <v>1152.4314900121233</v>
      </c>
      <c r="BK35" s="10">
        <v>1729.561464336372</v>
      </c>
      <c r="BL35" s="10">
        <v>2448.8182502784362</v>
      </c>
      <c r="BM35" s="10">
        <v>2829.0433322123667</v>
      </c>
      <c r="BN35" s="10">
        <v>3342.5621741578084</v>
      </c>
      <c r="BO35" s="10">
        <v>4019.5923760684486</v>
      </c>
      <c r="BP35" s="10">
        <v>4341.4464130788228</v>
      </c>
      <c r="BQ35" s="10">
        <v>3926.2644433423957</v>
      </c>
      <c r="BR35" s="10">
        <v>3256.5758732337868</v>
      </c>
      <c r="BS35" s="10">
        <v>2217.07828634013</v>
      </c>
      <c r="BT35" s="10">
        <v>1407.6390711943732</v>
      </c>
      <c r="BU35" s="50">
        <v>1048.6467483837164</v>
      </c>
      <c r="BV35" s="57">
        <v>501.04438160043594</v>
      </c>
      <c r="BW35" s="12">
        <v>745.95080392232239</v>
      </c>
      <c r="BX35" s="12">
        <v>1074.9555013552413</v>
      </c>
      <c r="BY35" s="12">
        <v>1394.7442712545921</v>
      </c>
      <c r="BZ35" s="12">
        <v>1676.1388741981875</v>
      </c>
      <c r="CA35" s="12">
        <v>1844.6816173789448</v>
      </c>
      <c r="CB35" s="12">
        <v>1801.2839941011</v>
      </c>
      <c r="CC35" s="12">
        <v>1577.3021151084151</v>
      </c>
      <c r="CD35" s="12">
        <v>1244.3817632489938</v>
      </c>
      <c r="CE35" s="12">
        <v>870.70383944156504</v>
      </c>
      <c r="CF35" s="12">
        <v>574.59321070830367</v>
      </c>
      <c r="CG35" s="63">
        <v>444.85244003440602</v>
      </c>
      <c r="CH35" s="71">
        <v>10750.600000000006</v>
      </c>
      <c r="CI35" s="71">
        <v>8393.4000000000051</v>
      </c>
      <c r="CJ35" s="71">
        <v>8184.5999999999995</v>
      </c>
      <c r="CK35" s="71">
        <v>6555.2999999999993</v>
      </c>
      <c r="CL35" s="71">
        <v>4370.2999999999975</v>
      </c>
      <c r="CM35" s="71">
        <v>2155.9999999999986</v>
      </c>
      <c r="CN35" s="71">
        <v>1099.1000000000001</v>
      </c>
      <c r="CO35" s="71">
        <v>1050.7000000000003</v>
      </c>
      <c r="CP35" s="71">
        <v>1761.4999999999975</v>
      </c>
      <c r="CQ35" s="71">
        <v>4110.7999999999993</v>
      </c>
      <c r="CR35" s="71">
        <v>7672.8000000000047</v>
      </c>
      <c r="CS35" s="71">
        <v>9889.5</v>
      </c>
      <c r="CT35" s="79">
        <v>0</v>
      </c>
      <c r="CU35" s="79">
        <v>0</v>
      </c>
      <c r="CV35" s="79">
        <v>0.39999999999999858</v>
      </c>
      <c r="CW35" s="79">
        <v>4.6000000000000014</v>
      </c>
      <c r="CX35" s="79">
        <v>102.3000000000001</v>
      </c>
      <c r="CY35" s="79">
        <v>935.29999999999973</v>
      </c>
      <c r="CZ35" s="79">
        <v>2178.2000000000007</v>
      </c>
      <c r="DA35" s="79">
        <v>2023.5999999999997</v>
      </c>
      <c r="DB35" s="79">
        <v>1173.3999999999996</v>
      </c>
      <c r="DC35" s="79">
        <v>171.20000000000002</v>
      </c>
      <c r="DD35" s="79">
        <v>0</v>
      </c>
      <c r="DE35" s="79">
        <v>0</v>
      </c>
      <c r="DF35" s="87">
        <v>0</v>
      </c>
      <c r="DG35" s="87">
        <v>0</v>
      </c>
      <c r="DH35" s="87">
        <v>0</v>
      </c>
      <c r="DI35" s="87">
        <v>0</v>
      </c>
      <c r="DJ35" s="87">
        <v>0</v>
      </c>
      <c r="DK35" s="87">
        <v>9.8000000000000078</v>
      </c>
      <c r="DL35" s="87">
        <v>238.39999999999986</v>
      </c>
      <c r="DM35" s="87">
        <v>253.79999999999981</v>
      </c>
      <c r="DN35" s="87">
        <v>66.90000000000002</v>
      </c>
      <c r="DO35" s="87">
        <v>0</v>
      </c>
      <c r="DP35" s="87">
        <v>0</v>
      </c>
      <c r="DQ35" s="87">
        <v>0</v>
      </c>
      <c r="DR35" s="94">
        <v>15958.600000000009</v>
      </c>
      <c r="DS35" s="94">
        <v>13097.399999999987</v>
      </c>
      <c r="DT35" s="94">
        <v>13392.200000000003</v>
      </c>
      <c r="DU35" s="94">
        <v>11590.700000000004</v>
      </c>
      <c r="DV35" s="94">
        <v>9476.0000000000018</v>
      </c>
      <c r="DW35" s="94">
        <v>6270.5000000000055</v>
      </c>
      <c r="DX35" s="94">
        <v>4367.3000000000029</v>
      </c>
      <c r="DY35" s="94">
        <v>4488.8999999999987</v>
      </c>
      <c r="DZ35" s="94">
        <v>5695.0000000000027</v>
      </c>
      <c r="EA35" s="94">
        <v>9147.6000000000076</v>
      </c>
      <c r="EB35" s="94">
        <v>12712.800000000003</v>
      </c>
      <c r="EC35" s="94">
        <v>15097.499999999989</v>
      </c>
      <c r="ED35" s="224" t="s">
        <v>306</v>
      </c>
      <c r="EE35" s="542">
        <v>13.2</v>
      </c>
      <c r="EF35" s="542">
        <v>20.2</v>
      </c>
      <c r="EG35" s="542">
        <v>30.2</v>
      </c>
      <c r="EH35" s="542">
        <v>45.2</v>
      </c>
      <c r="EI35" s="542">
        <v>64.2</v>
      </c>
      <c r="EJ35" s="542">
        <v>79</v>
      </c>
      <c r="EK35" s="542">
        <v>79</v>
      </c>
      <c r="EL35" s="545">
        <v>10</v>
      </c>
      <c r="EM35" s="545">
        <v>15.4</v>
      </c>
      <c r="EN35" s="545">
        <v>23</v>
      </c>
      <c r="EO35" s="545">
        <v>34.299999999999997</v>
      </c>
      <c r="EP35" s="545">
        <v>62</v>
      </c>
      <c r="EQ35" s="545">
        <v>74.400000000000006</v>
      </c>
      <c r="ER35" s="545">
        <v>74.400000000000006</v>
      </c>
      <c r="ES35" s="533">
        <v>18.2</v>
      </c>
      <c r="ET35" s="533">
        <v>13.3</v>
      </c>
      <c r="EU35" s="537">
        <v>28.6</v>
      </c>
      <c r="EV35" s="537">
        <v>20.9</v>
      </c>
      <c r="EW35" s="540">
        <v>6.9</v>
      </c>
      <c r="EX35" s="540">
        <v>5.0999999999999996</v>
      </c>
    </row>
    <row r="36" spans="1:154" hidden="1">
      <c r="A36" s="345" t="s">
        <v>337</v>
      </c>
      <c r="B36" s="96">
        <v>9.9112258064516148</v>
      </c>
      <c r="C36" s="97">
        <v>10.666428571428572</v>
      </c>
      <c r="D36" s="97">
        <v>11.848000000000003</v>
      </c>
      <c r="E36" s="97">
        <v>13.50506666666667</v>
      </c>
      <c r="F36" s="97">
        <v>15.322967741935482</v>
      </c>
      <c r="G36" s="97">
        <v>18.737066666666667</v>
      </c>
      <c r="H36" s="97">
        <v>20.619483870967741</v>
      </c>
      <c r="I36" s="97">
        <v>20.455741935483871</v>
      </c>
      <c r="J36" s="97">
        <v>19.010133333333336</v>
      </c>
      <c r="K36" s="97">
        <v>16.074064516129035</v>
      </c>
      <c r="L36" s="97">
        <v>12.510266666666665</v>
      </c>
      <c r="M36" s="100">
        <v>10.215134408602152</v>
      </c>
      <c r="N36" s="106">
        <v>10.99</v>
      </c>
      <c r="O36" s="106">
        <v>12.97</v>
      </c>
      <c r="P36" s="106">
        <v>15.26</v>
      </c>
      <c r="Q36" s="106">
        <v>16.96</v>
      </c>
      <c r="R36" s="106">
        <v>19.34</v>
      </c>
      <c r="S36" s="106">
        <v>19.84</v>
      </c>
      <c r="T36" s="106">
        <v>19.03</v>
      </c>
      <c r="U36" s="106">
        <v>17.09</v>
      </c>
      <c r="V36" s="106">
        <v>14.57</v>
      </c>
      <c r="W36" s="106">
        <v>12.22</v>
      </c>
      <c r="X36" s="106">
        <v>10.56</v>
      </c>
      <c r="Y36" s="106">
        <v>10.119999999999999</v>
      </c>
      <c r="Z36" s="102">
        <v>1638.1935483870968</v>
      </c>
      <c r="AA36" s="4">
        <v>2281.4285714285716</v>
      </c>
      <c r="AB36" s="4">
        <v>3600.6451612903224</v>
      </c>
      <c r="AC36" s="4">
        <v>4891.0666666666666</v>
      </c>
      <c r="AD36" s="4">
        <v>5564.1290322580644</v>
      </c>
      <c r="AE36" s="4">
        <v>6807.666666666667</v>
      </c>
      <c r="AF36" s="4">
        <v>7078.3548387096771</v>
      </c>
      <c r="AG36" s="4">
        <v>6418.1612903225805</v>
      </c>
      <c r="AH36" s="4">
        <v>4647.0333333333338</v>
      </c>
      <c r="AI36" s="4">
        <v>3190.7096774193546</v>
      </c>
      <c r="AJ36" s="4">
        <v>2001.1666666666667</v>
      </c>
      <c r="AK36" s="23">
        <v>1521.8064516129032</v>
      </c>
      <c r="AL36" s="29">
        <v>2863.270305049065</v>
      </c>
      <c r="AM36" s="6">
        <v>2909.886118698616</v>
      </c>
      <c r="AN36" s="6">
        <v>3312.8690476857964</v>
      </c>
      <c r="AO36" s="6">
        <v>3038.7030764866859</v>
      </c>
      <c r="AP36" s="6">
        <v>2648.6738366008872</v>
      </c>
      <c r="AQ36" s="6">
        <v>2770.3976550957145</v>
      </c>
      <c r="AR36" s="6">
        <v>2975.0034728150063</v>
      </c>
      <c r="AS36" s="6">
        <v>3472.1731552949595</v>
      </c>
      <c r="AT36" s="6">
        <v>3736.9882642938155</v>
      </c>
      <c r="AU36" s="6">
        <v>3930.1008822094532</v>
      </c>
      <c r="AV36" s="6">
        <v>3385.3312464503342</v>
      </c>
      <c r="AW36" s="30">
        <v>2982.1400215310409</v>
      </c>
      <c r="AX36" s="39">
        <v>2249.9714524730775</v>
      </c>
      <c r="AY36" s="8">
        <v>2464.4659363516612</v>
      </c>
      <c r="AZ36" s="8">
        <v>3167.9315559260854</v>
      </c>
      <c r="BA36" s="8">
        <v>3437.6984953196152</v>
      </c>
      <c r="BB36" s="8">
        <v>3294.824800166452</v>
      </c>
      <c r="BC36" s="8">
        <v>3691.6673680408876</v>
      </c>
      <c r="BD36" s="8">
        <v>3975.0318404149234</v>
      </c>
      <c r="BE36" s="8">
        <v>4245.09248206544</v>
      </c>
      <c r="BF36" s="8">
        <v>3835.1076230134599</v>
      </c>
      <c r="BG36" s="8">
        <v>3408.3121251785556</v>
      </c>
      <c r="BH36" s="8">
        <v>2685.8369558048662</v>
      </c>
      <c r="BI36" s="40">
        <v>2298.3698317544527</v>
      </c>
      <c r="BJ36" s="49">
        <v>1308.6262130149491</v>
      </c>
      <c r="BK36" s="10">
        <v>1707.4488078997979</v>
      </c>
      <c r="BL36" s="10">
        <v>2571.4571581765717</v>
      </c>
      <c r="BM36" s="10">
        <v>3302.6936865000444</v>
      </c>
      <c r="BN36" s="10">
        <v>3591.9935392819207</v>
      </c>
      <c r="BO36" s="10">
        <v>4339.9579001663706</v>
      </c>
      <c r="BP36" s="10">
        <v>4571.5243659684338</v>
      </c>
      <c r="BQ36" s="10">
        <v>4321.9639286886695</v>
      </c>
      <c r="BR36" s="10">
        <v>3292.5287310919562</v>
      </c>
      <c r="BS36" s="10">
        <v>2414.7140684841092</v>
      </c>
      <c r="BT36" s="10">
        <v>1600.7905542724429</v>
      </c>
      <c r="BU36" s="50">
        <v>1251.3591361516428</v>
      </c>
      <c r="BV36" s="57">
        <v>529.71178620223907</v>
      </c>
      <c r="BW36" s="12">
        <v>749.17381864527113</v>
      </c>
      <c r="BX36" s="12">
        <v>1094.0581186657907</v>
      </c>
      <c r="BY36" s="12">
        <v>1453.8160165281743</v>
      </c>
      <c r="BZ36" s="12">
        <v>1706.9202565996766</v>
      </c>
      <c r="CA36" s="12">
        <v>1858.8269188458373</v>
      </c>
      <c r="CB36" s="12">
        <v>1800.7629954555148</v>
      </c>
      <c r="CC36" s="12">
        <v>1579.2684120804743</v>
      </c>
      <c r="CD36" s="12">
        <v>1251.2298866674469</v>
      </c>
      <c r="CE36" s="12">
        <v>891.70384328132559</v>
      </c>
      <c r="CF36" s="12">
        <v>602.70558949230747</v>
      </c>
      <c r="CG36" s="63">
        <v>478.140190430031</v>
      </c>
      <c r="CH36" s="71">
        <v>6731.3999999999905</v>
      </c>
      <c r="CI36" s="71">
        <v>5572.0000000000036</v>
      </c>
      <c r="CJ36" s="71">
        <v>5298.8999999999969</v>
      </c>
      <c r="CK36" s="71">
        <v>3987.0999999999963</v>
      </c>
      <c r="CL36" s="71">
        <v>2877.5999999999981</v>
      </c>
      <c r="CM36" s="71">
        <v>1215.1999999999996</v>
      </c>
      <c r="CN36" s="71">
        <v>548.10000000000025</v>
      </c>
      <c r="CO36" s="71">
        <v>592.1999999999997</v>
      </c>
      <c r="CP36" s="71">
        <v>1022.7000000000006</v>
      </c>
      <c r="CQ36" s="71">
        <v>2431.4999999999973</v>
      </c>
      <c r="CR36" s="71">
        <v>4671.0999999999985</v>
      </c>
      <c r="CS36" s="71">
        <v>6505.7000000000062</v>
      </c>
      <c r="CT36" s="79">
        <v>0</v>
      </c>
      <c r="CU36" s="79">
        <v>0</v>
      </c>
      <c r="CV36" s="79">
        <v>20.599999999999994</v>
      </c>
      <c r="CW36" s="79">
        <v>92.600000000000023</v>
      </c>
      <c r="CX36" s="79">
        <v>195.50000000000003</v>
      </c>
      <c r="CY36" s="79">
        <v>1099.2000000000007</v>
      </c>
      <c r="CZ36" s="79">
        <v>1816.7000000000007</v>
      </c>
      <c r="DA36" s="79">
        <v>1742.9000000000008</v>
      </c>
      <c r="DB36" s="79">
        <v>1089.5</v>
      </c>
      <c r="DC36" s="79">
        <v>310.39999999999998</v>
      </c>
      <c r="DD36" s="79">
        <v>36.699999999999996</v>
      </c>
      <c r="DE36" s="79">
        <v>0</v>
      </c>
      <c r="DF36" s="87">
        <v>0</v>
      </c>
      <c r="DG36" s="87">
        <v>0</v>
      </c>
      <c r="DH36" s="87">
        <v>0</v>
      </c>
      <c r="DI36" s="87">
        <v>0</v>
      </c>
      <c r="DJ36" s="87">
        <v>0</v>
      </c>
      <c r="DK36" s="87">
        <v>9.8000000000000043</v>
      </c>
      <c r="DL36" s="87">
        <v>93.100000000000051</v>
      </c>
      <c r="DM36" s="87">
        <v>162.4</v>
      </c>
      <c r="DN36" s="87">
        <v>16.000000000000004</v>
      </c>
      <c r="DO36" s="87">
        <v>0</v>
      </c>
      <c r="DP36" s="87">
        <v>0</v>
      </c>
      <c r="DQ36" s="87">
        <v>0</v>
      </c>
      <c r="DR36" s="94">
        <v>11939.400000000011</v>
      </c>
      <c r="DS36" s="94">
        <v>10276.000000000007</v>
      </c>
      <c r="DT36" s="94">
        <v>10486.299999999987</v>
      </c>
      <c r="DU36" s="94">
        <v>8934.5000000000073</v>
      </c>
      <c r="DV36" s="94">
        <v>7890.1</v>
      </c>
      <c r="DW36" s="94">
        <v>5165.8000000000011</v>
      </c>
      <c r="DX36" s="94">
        <v>4032.5000000000023</v>
      </c>
      <c r="DY36" s="94">
        <v>4219.699999999998</v>
      </c>
      <c r="DZ36" s="94">
        <v>4989.199999999998</v>
      </c>
      <c r="EA36" s="94">
        <v>7329.1000000000013</v>
      </c>
      <c r="EB36" s="94">
        <v>9674.4</v>
      </c>
      <c r="EC36" s="94">
        <v>11713.70000000001</v>
      </c>
      <c r="ED36" s="224" t="s">
        <v>296</v>
      </c>
      <c r="EE36" s="542">
        <v>6.6</v>
      </c>
      <c r="EF36" s="542">
        <v>10.8</v>
      </c>
      <c r="EG36" s="542">
        <v>16.7</v>
      </c>
      <c r="EH36" s="542">
        <v>25.7</v>
      </c>
      <c r="EI36" s="542">
        <v>59.2</v>
      </c>
      <c r="EJ36" s="542">
        <v>74.599999999999994</v>
      </c>
      <c r="EK36" s="542">
        <v>74.599999999999994</v>
      </c>
      <c r="EL36" s="545">
        <v>6</v>
      </c>
      <c r="EM36" s="545">
        <v>9.8000000000000007</v>
      </c>
      <c r="EN36" s="545">
        <v>15.1</v>
      </c>
      <c r="EO36" s="545">
        <v>23.2</v>
      </c>
      <c r="EP36" s="545">
        <v>48</v>
      </c>
      <c r="EQ36" s="545">
        <v>57.6</v>
      </c>
      <c r="ER36" s="545">
        <v>57.6</v>
      </c>
      <c r="ES36" s="533">
        <v>17.5</v>
      </c>
      <c r="ET36" s="533">
        <v>12.9</v>
      </c>
      <c r="EU36" s="537">
        <v>27.5</v>
      </c>
      <c r="EV36" s="537">
        <v>20.3</v>
      </c>
      <c r="EW36" s="540">
        <v>6.7</v>
      </c>
      <c r="EX36" s="540">
        <v>4.9000000000000004</v>
      </c>
    </row>
    <row r="37" spans="1:154" hidden="1">
      <c r="A37" s="345" t="s">
        <v>338</v>
      </c>
      <c r="B37" s="96">
        <v>3.6904516129032263</v>
      </c>
      <c r="C37" s="97">
        <v>5.274571428571428</v>
      </c>
      <c r="D37" s="97">
        <v>7.2510967741935497</v>
      </c>
      <c r="E37" s="97">
        <v>9.5388000000000002</v>
      </c>
      <c r="F37" s="97">
        <v>13.275225806451614</v>
      </c>
      <c r="G37" s="97">
        <v>17.673333333333336</v>
      </c>
      <c r="H37" s="97">
        <v>20.849032258064511</v>
      </c>
      <c r="I37" s="97">
        <v>20.154193548387095</v>
      </c>
      <c r="J37" s="97">
        <v>17.3736</v>
      </c>
      <c r="K37" s="97">
        <v>12.244516129032256</v>
      </c>
      <c r="L37" s="97">
        <v>6.9218666666666655</v>
      </c>
      <c r="M37" s="100">
        <v>4.0430322580645166</v>
      </c>
      <c r="N37" s="106">
        <v>3.84</v>
      </c>
      <c r="O37" s="106">
        <v>5.31</v>
      </c>
      <c r="P37" s="106">
        <v>8.17</v>
      </c>
      <c r="Q37" s="106">
        <v>10.87</v>
      </c>
      <c r="R37" s="106">
        <v>15.99</v>
      </c>
      <c r="S37" s="106">
        <v>18.690000000000001</v>
      </c>
      <c r="T37" s="106">
        <v>19.43</v>
      </c>
      <c r="U37" s="106">
        <v>18.059999999999999</v>
      </c>
      <c r="V37" s="106">
        <v>14.91</v>
      </c>
      <c r="W37" s="106">
        <v>10.97</v>
      </c>
      <c r="X37" s="106">
        <v>7.1</v>
      </c>
      <c r="Y37" s="106">
        <v>4.54</v>
      </c>
      <c r="Z37" s="102">
        <v>1835.5806451612902</v>
      </c>
      <c r="AA37" s="4">
        <v>2782.0714285714284</v>
      </c>
      <c r="AB37" s="4">
        <v>3938.9354838709678</v>
      </c>
      <c r="AC37" s="4">
        <v>5012</v>
      </c>
      <c r="AD37" s="4">
        <v>6262.2580645161288</v>
      </c>
      <c r="AE37" s="4">
        <v>7014.9666666666662</v>
      </c>
      <c r="AF37" s="4">
        <v>7531.5483870967746</v>
      </c>
      <c r="AG37" s="4">
        <v>6794.5161290322585</v>
      </c>
      <c r="AH37" s="4">
        <v>4925.1000000000004</v>
      </c>
      <c r="AI37" s="4">
        <v>3366.3225806451615</v>
      </c>
      <c r="AJ37" s="4">
        <v>2184.2333333333331</v>
      </c>
      <c r="AK37" s="23">
        <v>1585.258064516129</v>
      </c>
      <c r="AL37" s="29">
        <v>3110.8008315538682</v>
      </c>
      <c r="AM37" s="6">
        <v>3615.2800284397103</v>
      </c>
      <c r="AN37" s="6">
        <v>3557.4925695467255</v>
      </c>
      <c r="AO37" s="6">
        <v>3019.570797366182</v>
      </c>
      <c r="AP37" s="6">
        <v>2814.5008751924047</v>
      </c>
      <c r="AQ37" s="6">
        <v>2727.1095110166198</v>
      </c>
      <c r="AR37" s="6">
        <v>2984.1749727239267</v>
      </c>
      <c r="AS37" s="6">
        <v>3525.804870451338</v>
      </c>
      <c r="AT37" s="6">
        <v>3849.2570425572389</v>
      </c>
      <c r="AU37" s="6">
        <v>4002.3978666938756</v>
      </c>
      <c r="AV37" s="6">
        <v>3556.0001188620322</v>
      </c>
      <c r="AW37" s="30">
        <v>2884.6987287473912</v>
      </c>
      <c r="AX37" s="39">
        <v>2453.3276979627626</v>
      </c>
      <c r="AY37" s="8">
        <v>3054.5573355415681</v>
      </c>
      <c r="AZ37" s="8">
        <v>3425.0588749076887</v>
      </c>
      <c r="BA37" s="8">
        <v>3455.8443326091051</v>
      </c>
      <c r="BB37" s="8">
        <v>3637.9929370060859</v>
      </c>
      <c r="BC37" s="8">
        <v>3729.9531613816489</v>
      </c>
      <c r="BD37" s="8">
        <v>4134.9141867089629</v>
      </c>
      <c r="BE37" s="8">
        <v>4409.6581478320559</v>
      </c>
      <c r="BF37" s="8">
        <v>3990.7702041355406</v>
      </c>
      <c r="BG37" s="8">
        <v>3494.4548130400817</v>
      </c>
      <c r="BH37" s="8">
        <v>2835.5167529446589</v>
      </c>
      <c r="BI37" s="40">
        <v>2243.025846973112</v>
      </c>
      <c r="BJ37" s="49">
        <v>1445.5903150400011</v>
      </c>
      <c r="BK37" s="10">
        <v>2092.4851705478491</v>
      </c>
      <c r="BL37" s="10">
        <v>2794.4152204140437</v>
      </c>
      <c r="BM37" s="10">
        <v>3351.9707879353132</v>
      </c>
      <c r="BN37" s="10">
        <v>4034.1028106199842</v>
      </c>
      <c r="BO37" s="10">
        <v>4441.9896079777791</v>
      </c>
      <c r="BP37" s="10">
        <v>4835.651755086963</v>
      </c>
      <c r="BQ37" s="10">
        <v>4541.8439825036194</v>
      </c>
      <c r="BR37" s="10">
        <v>3456.2405365633213</v>
      </c>
      <c r="BS37" s="10">
        <v>2508.3800839845003</v>
      </c>
      <c r="BT37" s="10">
        <v>1717.0612296096597</v>
      </c>
      <c r="BU37" s="50">
        <v>1264.0920196244049</v>
      </c>
      <c r="BV37" s="57">
        <v>576.09688808938154</v>
      </c>
      <c r="BW37" s="12">
        <v>822.90786787962975</v>
      </c>
      <c r="BX37" s="12">
        <v>1140.2569092563347</v>
      </c>
      <c r="BY37" s="12">
        <v>1474.5673114641281</v>
      </c>
      <c r="BZ37" s="12">
        <v>1743.7589937850662</v>
      </c>
      <c r="CA37" s="12">
        <v>1857.33273343717</v>
      </c>
      <c r="CB37" s="12">
        <v>1788.7843882283523</v>
      </c>
      <c r="CC37" s="12">
        <v>1580.6216843433506</v>
      </c>
      <c r="CD37" s="12">
        <v>1279.9825179210477</v>
      </c>
      <c r="CE37" s="12">
        <v>928.83472638860485</v>
      </c>
      <c r="CF37" s="12">
        <v>645.16629806237881</v>
      </c>
      <c r="CG37" s="63">
        <v>509.09115425829054</v>
      </c>
      <c r="CH37" s="71">
        <v>11353.399999999983</v>
      </c>
      <c r="CI37" s="71">
        <v>9180.9999999999909</v>
      </c>
      <c r="CJ37" s="71">
        <v>8675.4000000000069</v>
      </c>
      <c r="CK37" s="71">
        <v>6755.9999999999945</v>
      </c>
      <c r="CL37" s="71">
        <v>4445.1999999999971</v>
      </c>
      <c r="CM37" s="71">
        <v>2145.0999999999995</v>
      </c>
      <c r="CN37" s="71">
        <v>1120.4000000000005</v>
      </c>
      <c r="CO37" s="71">
        <v>1309.6000000000004</v>
      </c>
      <c r="CP37" s="71">
        <v>2205.0000000000009</v>
      </c>
      <c r="CQ37" s="71">
        <v>5161.5000000000036</v>
      </c>
      <c r="CR37" s="71">
        <v>8645.4000000000015</v>
      </c>
      <c r="CS37" s="71">
        <v>11090.700000000006</v>
      </c>
      <c r="CT37" s="79">
        <v>0</v>
      </c>
      <c r="CU37" s="79">
        <v>0</v>
      </c>
      <c r="CV37" s="79">
        <v>1.7999999999999972</v>
      </c>
      <c r="CW37" s="79">
        <v>21.7</v>
      </c>
      <c r="CX37" s="79">
        <v>276.19999999999993</v>
      </c>
      <c r="CY37" s="79">
        <v>1295.8</v>
      </c>
      <c r="CZ37" s="79">
        <v>2610.5999999999976</v>
      </c>
      <c r="DA37" s="79">
        <v>2283.8000000000006</v>
      </c>
      <c r="DB37" s="79">
        <v>1127.9999999999998</v>
      </c>
      <c r="DC37" s="79">
        <v>207.79999999999993</v>
      </c>
      <c r="DD37" s="79">
        <v>1.3999999999999986</v>
      </c>
      <c r="DE37" s="79">
        <v>0</v>
      </c>
      <c r="DF37" s="87">
        <v>0</v>
      </c>
      <c r="DG37" s="87">
        <v>0</v>
      </c>
      <c r="DH37" s="87">
        <v>0</v>
      </c>
      <c r="DI37" s="87">
        <v>0</v>
      </c>
      <c r="DJ37" s="87">
        <v>0.10000000000000142</v>
      </c>
      <c r="DK37" s="87">
        <v>78.100000000000037</v>
      </c>
      <c r="DL37" s="87">
        <v>563.29999999999995</v>
      </c>
      <c r="DM37" s="87">
        <v>413.29999999999995</v>
      </c>
      <c r="DN37" s="87">
        <v>54.100000000000023</v>
      </c>
      <c r="DO37" s="87">
        <v>0</v>
      </c>
      <c r="DP37" s="87">
        <v>0</v>
      </c>
      <c r="DQ37" s="87">
        <v>0</v>
      </c>
      <c r="DR37" s="94">
        <v>16561.399999999991</v>
      </c>
      <c r="DS37" s="94">
        <v>13885</v>
      </c>
      <c r="DT37" s="94">
        <v>13881.599999999991</v>
      </c>
      <c r="DU37" s="94">
        <v>11774.300000000003</v>
      </c>
      <c r="DV37" s="94">
        <v>9377.1000000000058</v>
      </c>
      <c r="DW37" s="94">
        <v>5967.3999999999951</v>
      </c>
      <c r="DX37" s="94">
        <v>4281.0999999999985</v>
      </c>
      <c r="DY37" s="94">
        <v>4647.1000000000022</v>
      </c>
      <c r="DZ37" s="94">
        <v>6171.1000000000022</v>
      </c>
      <c r="EA37" s="94">
        <v>10161.699999999992</v>
      </c>
      <c r="EB37" s="94">
        <v>13684.00000000002</v>
      </c>
      <c r="EC37" s="94">
        <v>16298.700000000006</v>
      </c>
      <c r="ED37" s="224" t="s">
        <v>304</v>
      </c>
      <c r="EE37" s="542">
        <v>12.4</v>
      </c>
      <c r="EF37" s="542">
        <v>20.3</v>
      </c>
      <c r="EG37" s="542">
        <v>31.6</v>
      </c>
      <c r="EH37" s="542">
        <v>48.6</v>
      </c>
      <c r="EI37" s="542">
        <v>95.1</v>
      </c>
      <c r="EJ37" s="542">
        <v>124.6</v>
      </c>
      <c r="EK37" s="542">
        <v>124.6</v>
      </c>
      <c r="EL37" s="545">
        <v>8.5</v>
      </c>
      <c r="EM37" s="545">
        <v>13.9</v>
      </c>
      <c r="EN37" s="545">
        <v>21.7</v>
      </c>
      <c r="EO37" s="545">
        <v>33.299999999999997</v>
      </c>
      <c r="EP37" s="545">
        <v>77.2</v>
      </c>
      <c r="EQ37" s="545">
        <v>90.3</v>
      </c>
      <c r="ER37" s="545">
        <v>90.3</v>
      </c>
      <c r="ES37" s="533">
        <v>18.399999999999999</v>
      </c>
      <c r="ET37" s="533">
        <v>13.5</v>
      </c>
      <c r="EU37" s="537">
        <v>28.9</v>
      </c>
      <c r="EV37" s="537">
        <v>21.2</v>
      </c>
      <c r="EW37" s="540">
        <v>7</v>
      </c>
      <c r="EX37" s="540">
        <v>5.0999999999999996</v>
      </c>
    </row>
    <row r="38" spans="1:154" hidden="1">
      <c r="A38" s="345" t="s">
        <v>339</v>
      </c>
      <c r="B38" s="96">
        <v>7.9209032258064518</v>
      </c>
      <c r="C38" s="97">
        <v>8.454714285714287</v>
      </c>
      <c r="D38" s="97">
        <v>9.3058064516129004</v>
      </c>
      <c r="E38" s="97">
        <v>10.600266666666668</v>
      </c>
      <c r="F38" s="97">
        <v>13.439354838709678</v>
      </c>
      <c r="G38" s="97">
        <v>16.078266666666668</v>
      </c>
      <c r="H38" s="97">
        <v>18.322064516129032</v>
      </c>
      <c r="I38" s="97">
        <v>18.603870967741933</v>
      </c>
      <c r="J38" s="97">
        <v>17.891333333333332</v>
      </c>
      <c r="K38" s="97">
        <v>15.141806451612904</v>
      </c>
      <c r="L38" s="97">
        <v>10.908266666666664</v>
      </c>
      <c r="M38" s="100">
        <v>8.5172258064516129</v>
      </c>
      <c r="N38" s="106">
        <v>8.59</v>
      </c>
      <c r="O38" s="106">
        <v>8.15</v>
      </c>
      <c r="P38" s="106">
        <v>8.92</v>
      </c>
      <c r="Q38" s="106">
        <v>10.119999999999999</v>
      </c>
      <c r="R38" s="106">
        <v>13.27</v>
      </c>
      <c r="S38" s="106">
        <v>15.69</v>
      </c>
      <c r="T38" s="106">
        <v>17.329999999999998</v>
      </c>
      <c r="U38" s="106">
        <v>17.829999999999998</v>
      </c>
      <c r="V38" s="106">
        <v>16.98</v>
      </c>
      <c r="W38" s="106">
        <v>15.1</v>
      </c>
      <c r="X38" s="106">
        <v>12.58</v>
      </c>
      <c r="Y38" s="106">
        <v>10.24</v>
      </c>
      <c r="Z38" s="102">
        <v>1406.3870967741937</v>
      </c>
      <c r="AA38" s="4">
        <v>2000.3571428571429</v>
      </c>
      <c r="AB38" s="4">
        <v>2948.7419354838707</v>
      </c>
      <c r="AC38" s="4">
        <v>3585.4333333333334</v>
      </c>
      <c r="AD38" s="4">
        <v>4545.4193548387093</v>
      </c>
      <c r="AE38" s="4">
        <v>5030.6000000000004</v>
      </c>
      <c r="AF38" s="4">
        <v>5139.5806451612907</v>
      </c>
      <c r="AG38" s="4">
        <v>4560.5806451612907</v>
      </c>
      <c r="AH38" s="4">
        <v>3742.4333333333334</v>
      </c>
      <c r="AI38" s="4">
        <v>2588.483870967742</v>
      </c>
      <c r="AJ38" s="4">
        <v>1663.1</v>
      </c>
      <c r="AK38" s="23">
        <v>1215.1290322580646</v>
      </c>
      <c r="AL38" s="29">
        <v>2406.3018393772472</v>
      </c>
      <c r="AM38" s="6">
        <v>2507.4228315645769</v>
      </c>
      <c r="AN38" s="6">
        <v>2636.2448265756161</v>
      </c>
      <c r="AO38" s="6">
        <v>2242.5986084953697</v>
      </c>
      <c r="AP38" s="6">
        <v>2282.811057891055</v>
      </c>
      <c r="AQ38" s="6">
        <v>2294.6351848761578</v>
      </c>
      <c r="AR38" s="6">
        <v>2405.3052668973914</v>
      </c>
      <c r="AS38" s="6">
        <v>2570.0074946012182</v>
      </c>
      <c r="AT38" s="6">
        <v>2954.719576404395</v>
      </c>
      <c r="AU38" s="6">
        <v>3050.0956058695733</v>
      </c>
      <c r="AV38" s="6">
        <v>2709.3705027547157</v>
      </c>
      <c r="AW38" s="30">
        <v>2255.7657254650435</v>
      </c>
      <c r="AX38" s="39">
        <v>1897.6117067070229</v>
      </c>
      <c r="AY38" s="8">
        <v>2128.9712226055135</v>
      </c>
      <c r="AZ38" s="8">
        <v>2520.6294672487138</v>
      </c>
      <c r="BA38" s="8">
        <v>2462.8902479630678</v>
      </c>
      <c r="BB38" s="8">
        <v>2719.4409405176261</v>
      </c>
      <c r="BC38" s="8">
        <v>2813.8264689093253</v>
      </c>
      <c r="BD38" s="8">
        <v>2955.7711865528595</v>
      </c>
      <c r="BE38" s="8">
        <v>2982.152920493897</v>
      </c>
      <c r="BF38" s="8">
        <v>3009.3964087959548</v>
      </c>
      <c r="BG38" s="8">
        <v>2660.4784697678429</v>
      </c>
      <c r="BH38" s="8">
        <v>2162.0286449165837</v>
      </c>
      <c r="BI38" s="40">
        <v>1752.4720487219506</v>
      </c>
      <c r="BJ38" s="49">
        <v>1116.0393463213882</v>
      </c>
      <c r="BK38" s="10">
        <v>1489.1013561997065</v>
      </c>
      <c r="BL38" s="10">
        <v>2076.8102018085369</v>
      </c>
      <c r="BM38" s="10">
        <v>2373.9347165980003</v>
      </c>
      <c r="BN38" s="10">
        <v>2914.618598905919</v>
      </c>
      <c r="BO38" s="10">
        <v>3177.5295022245373</v>
      </c>
      <c r="BP38" s="10">
        <v>3280.1194596173282</v>
      </c>
      <c r="BQ38" s="10">
        <v>3010.043546547749</v>
      </c>
      <c r="BR38" s="10">
        <v>2612.8930993204526</v>
      </c>
      <c r="BS38" s="10">
        <v>1926.2466534745361</v>
      </c>
      <c r="BT38" s="10">
        <v>1313.2392403144249</v>
      </c>
      <c r="BU38" s="50">
        <v>979.9373060654973</v>
      </c>
      <c r="BV38" s="57">
        <v>485.3676025414901</v>
      </c>
      <c r="BW38" s="12">
        <v>698.53878886214193</v>
      </c>
      <c r="BX38" s="12">
        <v>1012.436717471913</v>
      </c>
      <c r="BY38" s="12">
        <v>1305.9347718104766</v>
      </c>
      <c r="BZ38" s="12">
        <v>1603.2727810252213</v>
      </c>
      <c r="CA38" s="12">
        <v>1740.9411517052276</v>
      </c>
      <c r="CB38" s="12">
        <v>1712.0627505095285</v>
      </c>
      <c r="CC38" s="12">
        <v>1495.7929859466551</v>
      </c>
      <c r="CD38" s="12">
        <v>1184.6164705275771</v>
      </c>
      <c r="CE38" s="12">
        <v>829.05154499100649</v>
      </c>
      <c r="CF38" s="12">
        <v>551.31452796736482</v>
      </c>
      <c r="CG38" s="63">
        <v>424.20560250546163</v>
      </c>
      <c r="CH38" s="71">
        <v>8216.4999999999909</v>
      </c>
      <c r="CI38" s="71">
        <v>7055.7999999999956</v>
      </c>
      <c r="CJ38" s="71">
        <v>7174.6</v>
      </c>
      <c r="CK38" s="71">
        <v>6006.3999999999924</v>
      </c>
      <c r="CL38" s="71">
        <v>4115.3000000000038</v>
      </c>
      <c r="CM38" s="71">
        <v>2197.9999999999973</v>
      </c>
      <c r="CN38" s="71">
        <v>1132.3999999999994</v>
      </c>
      <c r="CO38" s="71">
        <v>993.70000000000141</v>
      </c>
      <c r="CP38" s="71">
        <v>1286.6999999999991</v>
      </c>
      <c r="CQ38" s="71">
        <v>2964.1999999999962</v>
      </c>
      <c r="CR38" s="71">
        <v>5794.3000000000011</v>
      </c>
      <c r="CS38" s="71">
        <v>7775.0999999999785</v>
      </c>
      <c r="CT38" s="79">
        <v>0</v>
      </c>
      <c r="CU38" s="79">
        <v>0</v>
      </c>
      <c r="CV38" s="79">
        <v>0</v>
      </c>
      <c r="CW38" s="79">
        <v>0</v>
      </c>
      <c r="CX38" s="79">
        <v>24.200000000000003</v>
      </c>
      <c r="CY38" s="79">
        <v>139.10000000000005</v>
      </c>
      <c r="CZ38" s="79">
        <v>680.7</v>
      </c>
      <c r="DA38" s="79">
        <v>741.4</v>
      </c>
      <c r="DB38" s="79">
        <v>533.09999999999968</v>
      </c>
      <c r="DC38" s="79">
        <v>136.40000000000003</v>
      </c>
      <c r="DD38" s="79">
        <v>0</v>
      </c>
      <c r="DE38" s="79">
        <v>0</v>
      </c>
      <c r="DF38" s="87">
        <v>0</v>
      </c>
      <c r="DG38" s="87">
        <v>0</v>
      </c>
      <c r="DH38" s="87">
        <v>0</v>
      </c>
      <c r="DI38" s="87">
        <v>0</v>
      </c>
      <c r="DJ38" s="87">
        <v>0</v>
      </c>
      <c r="DK38" s="87">
        <v>0</v>
      </c>
      <c r="DL38" s="87">
        <v>4.5</v>
      </c>
      <c r="DM38" s="87">
        <v>0</v>
      </c>
      <c r="DN38" s="87">
        <v>0</v>
      </c>
      <c r="DO38" s="87">
        <v>0</v>
      </c>
      <c r="DP38" s="87">
        <v>0</v>
      </c>
      <c r="DQ38" s="87">
        <v>0</v>
      </c>
      <c r="DR38" s="94">
        <v>13424.499999999955</v>
      </c>
      <c r="DS38" s="94">
        <v>11759.800000000005</v>
      </c>
      <c r="DT38" s="94">
        <v>12382.599999999999</v>
      </c>
      <c r="DU38" s="94">
        <v>11046.399999999994</v>
      </c>
      <c r="DV38" s="94">
        <v>9299.0999999999913</v>
      </c>
      <c r="DW38" s="94">
        <v>7098.9000000000051</v>
      </c>
      <c r="DX38" s="94">
        <v>5664.2000000000144</v>
      </c>
      <c r="DY38" s="94">
        <v>5460.3000000000029</v>
      </c>
      <c r="DZ38" s="94">
        <v>5793.6000000000085</v>
      </c>
      <c r="EA38" s="94">
        <v>8035.7999999999993</v>
      </c>
      <c r="EB38" s="94">
        <v>10834.300000000019</v>
      </c>
      <c r="EC38" s="94">
        <v>12983.099999999979</v>
      </c>
      <c r="ED38" s="224" t="s">
        <v>296</v>
      </c>
      <c r="EE38" s="542">
        <v>10.199999999999999</v>
      </c>
      <c r="EF38" s="542">
        <v>16.600000000000001</v>
      </c>
      <c r="EG38" s="542">
        <v>25.9</v>
      </c>
      <c r="EH38" s="542">
        <v>39.799999999999997</v>
      </c>
      <c r="EI38" s="542">
        <v>54.6</v>
      </c>
      <c r="EJ38" s="542">
        <v>68.8</v>
      </c>
      <c r="EK38" s="542">
        <v>68.8</v>
      </c>
      <c r="EL38" s="545">
        <v>6</v>
      </c>
      <c r="EM38" s="545">
        <v>9.8000000000000007</v>
      </c>
      <c r="EN38" s="545">
        <v>15.1</v>
      </c>
      <c r="EO38" s="545">
        <v>23.2</v>
      </c>
      <c r="EP38" s="545">
        <v>48</v>
      </c>
      <c r="EQ38" s="545">
        <v>57.6</v>
      </c>
      <c r="ER38" s="545">
        <v>57.6</v>
      </c>
      <c r="ES38" s="533">
        <v>18</v>
      </c>
      <c r="ET38" s="533">
        <v>13.2</v>
      </c>
      <c r="EU38" s="537">
        <v>28.3</v>
      </c>
      <c r="EV38" s="537">
        <v>20.7</v>
      </c>
      <c r="EW38" s="540">
        <v>6.8</v>
      </c>
      <c r="EX38" s="540">
        <v>5</v>
      </c>
    </row>
    <row r="39" spans="1:154" hidden="1">
      <c r="A39" s="345" t="s">
        <v>299</v>
      </c>
      <c r="B39" s="96">
        <v>9.9411612903225777</v>
      </c>
      <c r="C39" s="97">
        <v>10.682857142857141</v>
      </c>
      <c r="D39" s="97">
        <v>11.380774193548387</v>
      </c>
      <c r="E39" s="97">
        <v>12.290000000000001</v>
      </c>
      <c r="F39" s="97">
        <v>15.342709677419355</v>
      </c>
      <c r="G39" s="97">
        <v>16.691200000000002</v>
      </c>
      <c r="H39" s="97">
        <v>19.87058064516129</v>
      </c>
      <c r="I39" s="97">
        <v>20.406967741935482</v>
      </c>
      <c r="J39" s="97">
        <v>19.332533333333334</v>
      </c>
      <c r="K39" s="97">
        <v>16.29458064516129</v>
      </c>
      <c r="L39" s="97">
        <v>13.392133333333334</v>
      </c>
      <c r="M39" s="100">
        <v>11.463112903225806</v>
      </c>
      <c r="N39" s="106">
        <v>10.5</v>
      </c>
      <c r="O39" s="106">
        <v>10.1</v>
      </c>
      <c r="P39" s="106">
        <v>10.9</v>
      </c>
      <c r="Q39" s="106">
        <v>12.75</v>
      </c>
      <c r="R39" s="106">
        <v>15.15</v>
      </c>
      <c r="S39" s="106">
        <v>17.45</v>
      </c>
      <c r="T39" s="106">
        <v>19.04</v>
      </c>
      <c r="U39" s="106">
        <v>19.48</v>
      </c>
      <c r="V39" s="106">
        <v>18.64</v>
      </c>
      <c r="W39" s="106">
        <v>16.77</v>
      </c>
      <c r="X39" s="106">
        <v>14.36</v>
      </c>
      <c r="Y39" s="106">
        <v>12.07</v>
      </c>
      <c r="Z39" s="102">
        <v>1309.6451612903227</v>
      </c>
      <c r="AA39" s="4">
        <v>2324.9642857142858</v>
      </c>
      <c r="AB39" s="4">
        <v>3255.4516129032259</v>
      </c>
      <c r="AC39" s="4">
        <v>4189.3666666666668</v>
      </c>
      <c r="AD39" s="4">
        <v>4824</v>
      </c>
      <c r="AE39" s="4">
        <v>5346.9333333333334</v>
      </c>
      <c r="AF39" s="4">
        <v>5258.7096774193551</v>
      </c>
      <c r="AG39" s="4">
        <v>4894.2580645161288</v>
      </c>
      <c r="AH39" s="4">
        <v>3732</v>
      </c>
      <c r="AI39" s="4">
        <v>2553.3548387096776</v>
      </c>
      <c r="AJ39" s="4">
        <v>1472.7333333333333</v>
      </c>
      <c r="AK39" s="23">
        <v>1196.5483870967741</v>
      </c>
      <c r="AL39" s="29">
        <v>2184.5232958578426</v>
      </c>
      <c r="AM39" s="6">
        <v>3121.1639508211779</v>
      </c>
      <c r="AN39" s="6">
        <v>3001.933737711613</v>
      </c>
      <c r="AO39" s="6">
        <v>2643.411244275499</v>
      </c>
      <c r="AP39" s="6">
        <v>2403.7081698649545</v>
      </c>
      <c r="AQ39" s="6">
        <v>2403.1257373153926</v>
      </c>
      <c r="AR39" s="6">
        <v>2454.0033747402204</v>
      </c>
      <c r="AS39" s="6">
        <v>2755.771666402296</v>
      </c>
      <c r="AT39" s="6">
        <v>2956.2218193659146</v>
      </c>
      <c r="AU39" s="6">
        <v>3011.1970765439373</v>
      </c>
      <c r="AV39" s="6">
        <v>2285.206857975114</v>
      </c>
      <c r="AW39" s="30">
        <v>2228.0985867023528</v>
      </c>
      <c r="AX39" s="39">
        <v>1729.2882936815488</v>
      </c>
      <c r="AY39" s="8">
        <v>2621.2740492577459</v>
      </c>
      <c r="AZ39" s="8">
        <v>2860.7375699476916</v>
      </c>
      <c r="BA39" s="8">
        <v>2935.7686348923139</v>
      </c>
      <c r="BB39" s="8">
        <v>2890.239514057118</v>
      </c>
      <c r="BC39" s="8">
        <v>2983.1862320908872</v>
      </c>
      <c r="BD39" s="8">
        <v>3026.393738313121</v>
      </c>
      <c r="BE39" s="8">
        <v>3222.5660847423951</v>
      </c>
      <c r="BF39" s="8">
        <v>3008.3579400526014</v>
      </c>
      <c r="BG39" s="8">
        <v>2625.8614570251002</v>
      </c>
      <c r="BH39" s="8">
        <v>1837.0824020948085</v>
      </c>
      <c r="BI39" s="40">
        <v>1730.4715992201609</v>
      </c>
      <c r="BJ39" s="49">
        <v>1029.7072271329791</v>
      </c>
      <c r="BK39" s="10">
        <v>1776.8511107763911</v>
      </c>
      <c r="BL39" s="10">
        <v>2324.9566244861794</v>
      </c>
      <c r="BM39" s="10">
        <v>2814.0872033272258</v>
      </c>
      <c r="BN39" s="10">
        <v>3106.5708323260633</v>
      </c>
      <c r="BO39" s="10">
        <v>3389.2261640535353</v>
      </c>
      <c r="BP39" s="10">
        <v>3362.9165128089744</v>
      </c>
      <c r="BQ39" s="10">
        <v>3251.3808281437086</v>
      </c>
      <c r="BR39" s="10">
        <v>2609.069965308126</v>
      </c>
      <c r="BS39" s="10">
        <v>1901.0161769889426</v>
      </c>
      <c r="BT39" s="10">
        <v>1142.1804640482803</v>
      </c>
      <c r="BU39" s="50">
        <v>966.28102198069291</v>
      </c>
      <c r="BV39" s="57">
        <v>467.78167527845812</v>
      </c>
      <c r="BW39" s="12">
        <v>738.12076677296557</v>
      </c>
      <c r="BX39" s="12">
        <v>1047.3854468161715</v>
      </c>
      <c r="BY39" s="12">
        <v>1384.8660834386053</v>
      </c>
      <c r="BZ39" s="12">
        <v>1637.5474611380591</v>
      </c>
      <c r="CA39" s="12">
        <v>1776.1877167789489</v>
      </c>
      <c r="CB39" s="12">
        <v>1724.0646654322309</v>
      </c>
      <c r="CC39" s="12">
        <v>1525.3838940595608</v>
      </c>
      <c r="CD39" s="12">
        <v>1181.7188296087606</v>
      </c>
      <c r="CE39" s="12">
        <v>822.78140160561895</v>
      </c>
      <c r="CF39" s="12">
        <v>521.16314169551538</v>
      </c>
      <c r="CG39" s="63">
        <v>419.19441536937768</v>
      </c>
      <c r="CH39" s="71">
        <v>6730.6999999999925</v>
      </c>
      <c r="CI39" s="71">
        <v>5571.3000000000011</v>
      </c>
      <c r="CJ39" s="71">
        <v>5662.5999999999949</v>
      </c>
      <c r="CK39" s="71">
        <v>4807.5000000000064</v>
      </c>
      <c r="CL39" s="71">
        <v>2825.2</v>
      </c>
      <c r="CM39" s="71">
        <v>1880.0000000000005</v>
      </c>
      <c r="CN39" s="71">
        <v>320.89999999999981</v>
      </c>
      <c r="CO39" s="71">
        <v>148.59999999999997</v>
      </c>
      <c r="CP39" s="71">
        <v>679.8</v>
      </c>
      <c r="CQ39" s="71">
        <v>2137.2000000000007</v>
      </c>
      <c r="CR39" s="71">
        <v>4087.4000000000024</v>
      </c>
      <c r="CS39" s="71">
        <v>5583.6000000000022</v>
      </c>
      <c r="CT39" s="79">
        <v>0</v>
      </c>
      <c r="CU39" s="79">
        <v>4.4000000000000021</v>
      </c>
      <c r="CV39" s="79">
        <v>13.3</v>
      </c>
      <c r="CW39" s="79">
        <v>0.60000000000000142</v>
      </c>
      <c r="CX39" s="79">
        <v>136.79999999999998</v>
      </c>
      <c r="CY39" s="79">
        <v>252.49999999999977</v>
      </c>
      <c r="CZ39" s="79">
        <v>1002.4000000000005</v>
      </c>
      <c r="DA39" s="79">
        <v>1228.1000000000004</v>
      </c>
      <c r="DB39" s="79">
        <v>955.89999999999986</v>
      </c>
      <c r="DC39" s="79">
        <v>153.49999999999991</v>
      </c>
      <c r="DD39" s="79">
        <v>84.100000000000023</v>
      </c>
      <c r="DE39" s="79">
        <v>0</v>
      </c>
      <c r="DF39" s="87">
        <v>0</v>
      </c>
      <c r="DG39" s="87">
        <v>0</v>
      </c>
      <c r="DH39" s="87">
        <v>0</v>
      </c>
      <c r="DI39" s="87">
        <v>0</v>
      </c>
      <c r="DJ39" s="87">
        <v>11.499999999999996</v>
      </c>
      <c r="DK39" s="87">
        <v>5.3000000000000007</v>
      </c>
      <c r="DL39" s="87">
        <v>17.199999999999996</v>
      </c>
      <c r="DM39" s="87">
        <v>0.5</v>
      </c>
      <c r="DN39" s="87">
        <v>39.999999999999986</v>
      </c>
      <c r="DO39" s="87">
        <v>0</v>
      </c>
      <c r="DP39" s="87">
        <v>0</v>
      </c>
      <c r="DQ39" s="87">
        <v>0</v>
      </c>
      <c r="DR39" s="94">
        <v>11938.70000000001</v>
      </c>
      <c r="DS39" s="94">
        <v>10270.900000000003</v>
      </c>
      <c r="DT39" s="94">
        <v>10857.29999999999</v>
      </c>
      <c r="DU39" s="94">
        <v>9846.9000000000015</v>
      </c>
      <c r="DV39" s="94">
        <v>7907.8999999999978</v>
      </c>
      <c r="DW39" s="94">
        <v>6672.8</v>
      </c>
      <c r="DX39" s="94">
        <v>4543.7000000000025</v>
      </c>
      <c r="DY39" s="94">
        <v>4128.9999999999973</v>
      </c>
      <c r="DZ39" s="94">
        <v>4803.8999999999978</v>
      </c>
      <c r="EA39" s="94">
        <v>7191.6999999999989</v>
      </c>
      <c r="EB39" s="94">
        <v>9043.2999999999975</v>
      </c>
      <c r="EC39" s="94">
        <v>10791.599999999977</v>
      </c>
      <c r="ED39" s="224" t="s">
        <v>296</v>
      </c>
      <c r="EE39" s="542">
        <v>9.1</v>
      </c>
      <c r="EF39" s="542">
        <v>14.7</v>
      </c>
      <c r="EG39" s="542">
        <v>22.8</v>
      </c>
      <c r="EH39" s="542">
        <v>35.1</v>
      </c>
      <c r="EI39" s="542">
        <v>62</v>
      </c>
      <c r="EJ39" s="542">
        <v>78.099999999999994</v>
      </c>
      <c r="EK39" s="542">
        <v>78.099999999999994</v>
      </c>
      <c r="EL39" s="545">
        <v>6</v>
      </c>
      <c r="EM39" s="545">
        <v>9.8000000000000007</v>
      </c>
      <c r="EN39" s="545">
        <v>15.1</v>
      </c>
      <c r="EO39" s="545">
        <v>23.2</v>
      </c>
      <c r="EP39" s="545">
        <v>48</v>
      </c>
      <c r="EQ39" s="545">
        <v>57.6</v>
      </c>
      <c r="ER39" s="545">
        <v>57.6</v>
      </c>
      <c r="ES39" s="533">
        <v>17.8</v>
      </c>
      <c r="ET39" s="533">
        <v>13</v>
      </c>
      <c r="EU39" s="537">
        <v>27.9</v>
      </c>
      <c r="EV39" s="537">
        <v>20.399999999999999</v>
      </c>
      <c r="EW39" s="540">
        <v>6.8</v>
      </c>
      <c r="EX39" s="540">
        <v>4.9000000000000004</v>
      </c>
    </row>
    <row r="40" spans="1:154" hidden="1">
      <c r="A40" s="345" t="s">
        <v>340</v>
      </c>
      <c r="B40" s="96">
        <v>4.0185806451612898</v>
      </c>
      <c r="C40" s="97">
        <v>5.1552857142857151</v>
      </c>
      <c r="D40" s="97">
        <v>7.0419354838709687</v>
      </c>
      <c r="E40" s="97">
        <v>9.0454666666666679</v>
      </c>
      <c r="F40" s="97">
        <v>13.005290322580644</v>
      </c>
      <c r="G40" s="97">
        <v>17.549199999999999</v>
      </c>
      <c r="H40" s="97">
        <v>21.504258064516129</v>
      </c>
      <c r="I40" s="97">
        <v>21.075870967741938</v>
      </c>
      <c r="J40" s="97">
        <v>17.792533333333331</v>
      </c>
      <c r="K40" s="97">
        <v>12.560516129032258</v>
      </c>
      <c r="L40" s="97">
        <v>7.196933333333333</v>
      </c>
      <c r="M40" s="100">
        <v>4.213672043010753</v>
      </c>
      <c r="N40" s="106">
        <v>4.55</v>
      </c>
      <c r="O40" s="106">
        <v>3.84</v>
      </c>
      <c r="P40" s="106">
        <v>5.0999999999999996</v>
      </c>
      <c r="Q40" s="106">
        <v>7.07</v>
      </c>
      <c r="R40" s="106">
        <v>12.23</v>
      </c>
      <c r="S40" s="106">
        <v>16.21</v>
      </c>
      <c r="T40" s="106">
        <v>18.899999999999999</v>
      </c>
      <c r="U40" s="106">
        <v>19.72</v>
      </c>
      <c r="V40" s="106">
        <v>18.32</v>
      </c>
      <c r="W40" s="106">
        <v>15.23</v>
      </c>
      <c r="X40" s="106">
        <v>11.1</v>
      </c>
      <c r="Y40" s="106">
        <v>7.27</v>
      </c>
      <c r="Z40" s="102">
        <v>1708.258064516129</v>
      </c>
      <c r="AA40" s="4">
        <v>2388.8214285714284</v>
      </c>
      <c r="AB40" s="4">
        <v>3465.1290322580644</v>
      </c>
      <c r="AC40" s="4">
        <v>4357.6000000000004</v>
      </c>
      <c r="AD40" s="4">
        <v>5486.3870967741932</v>
      </c>
      <c r="AE40" s="4">
        <v>6381.666666666667</v>
      </c>
      <c r="AF40" s="4">
        <v>7183.1290322580644</v>
      </c>
      <c r="AG40" s="4">
        <v>6465.6129032258068</v>
      </c>
      <c r="AH40" s="4">
        <v>4718.0333333333338</v>
      </c>
      <c r="AI40" s="4">
        <v>3057.3548387096776</v>
      </c>
      <c r="AJ40" s="4">
        <v>1956.7333333333333</v>
      </c>
      <c r="AK40" s="23">
        <v>1484.8387096774193</v>
      </c>
      <c r="AL40" s="29">
        <v>2799.3628630729372</v>
      </c>
      <c r="AM40" s="6">
        <v>2925.8244554611861</v>
      </c>
      <c r="AN40" s="6">
        <v>3032.5981587103884</v>
      </c>
      <c r="AO40" s="6">
        <v>2624.1900258936939</v>
      </c>
      <c r="AP40" s="6">
        <v>2548.0914262208075</v>
      </c>
      <c r="AQ40" s="6">
        <v>2577.6419099385676</v>
      </c>
      <c r="AR40" s="6">
        <v>2898.4866411339722</v>
      </c>
      <c r="AS40" s="6">
        <v>3374.3809151390446</v>
      </c>
      <c r="AT40" s="6">
        <v>3660.8071820194186</v>
      </c>
      <c r="AU40" s="6">
        <v>3513.8737622622284</v>
      </c>
      <c r="AV40" s="6">
        <v>3032.4481196712336</v>
      </c>
      <c r="AW40" s="30">
        <v>2617.2357697553066</v>
      </c>
      <c r="AX40" s="39">
        <v>2218.7939587102815</v>
      </c>
      <c r="AY40" s="8">
        <v>2495.7728873881533</v>
      </c>
      <c r="AZ40" s="8">
        <v>2926.8490868747958</v>
      </c>
      <c r="BA40" s="8">
        <v>2963.8064076644873</v>
      </c>
      <c r="BB40" s="8">
        <v>3197.677358686135</v>
      </c>
      <c r="BC40" s="8">
        <v>3424.4881925795962</v>
      </c>
      <c r="BD40" s="8">
        <v>3956.7296245397974</v>
      </c>
      <c r="BE40" s="8">
        <v>4184.5649183511177</v>
      </c>
      <c r="BF40" s="8">
        <v>3792.1586678855947</v>
      </c>
      <c r="BG40" s="8">
        <v>3083.5960364679358</v>
      </c>
      <c r="BH40" s="8">
        <v>2436.155125615534</v>
      </c>
      <c r="BI40" s="40">
        <v>2044.3287961490455</v>
      </c>
      <c r="BJ40" s="49">
        <v>1328.9309994541891</v>
      </c>
      <c r="BK40" s="10">
        <v>1757.9025489923342</v>
      </c>
      <c r="BL40" s="10">
        <v>2423.2764779290142</v>
      </c>
      <c r="BM40" s="10">
        <v>2882.946225796758</v>
      </c>
      <c r="BN40" s="10">
        <v>3510.1362317486241</v>
      </c>
      <c r="BO40" s="10">
        <v>4025.7637929041098</v>
      </c>
      <c r="BP40" s="10">
        <v>4601.1420213128877</v>
      </c>
      <c r="BQ40" s="10">
        <v>4305.7330482238831</v>
      </c>
      <c r="BR40" s="10">
        <v>3296.0121236907298</v>
      </c>
      <c r="BS40" s="10">
        <v>2248.2937543927387</v>
      </c>
      <c r="BT40" s="10">
        <v>1510.4887962084999</v>
      </c>
      <c r="BU40" s="50">
        <v>1170.3039895585312</v>
      </c>
      <c r="BV40" s="57">
        <v>561.14168542086952</v>
      </c>
      <c r="BW40" s="12">
        <v>784.18823937444222</v>
      </c>
      <c r="BX40" s="12">
        <v>1102.4214904514092</v>
      </c>
      <c r="BY40" s="12">
        <v>1421.4847244750449</v>
      </c>
      <c r="BZ40" s="12">
        <v>1703.4702140481086</v>
      </c>
      <c r="CA40" s="12">
        <v>1843.1632795433479</v>
      </c>
      <c r="CB40" s="12">
        <v>1799.1813571061</v>
      </c>
      <c r="CC40" s="12">
        <v>1591.3289753735444</v>
      </c>
      <c r="CD40" s="12">
        <v>1276.0252815575059</v>
      </c>
      <c r="CE40" s="12">
        <v>910.26347842694418</v>
      </c>
      <c r="CF40" s="12">
        <v>623.35736711349773</v>
      </c>
      <c r="CG40" s="63">
        <v>496.21400830361966</v>
      </c>
      <c r="CH40" s="71">
        <v>11114.600000000015</v>
      </c>
      <c r="CI40" s="71">
        <v>9270.6999999999807</v>
      </c>
      <c r="CJ40" s="71">
        <v>8846.7999999999938</v>
      </c>
      <c r="CK40" s="71">
        <v>7100.2999999999965</v>
      </c>
      <c r="CL40" s="71">
        <v>4496.9000000000033</v>
      </c>
      <c r="CM40" s="71">
        <v>2043.8</v>
      </c>
      <c r="CN40" s="71">
        <v>709.80000000000052</v>
      </c>
      <c r="CO40" s="71">
        <v>735.50000000000045</v>
      </c>
      <c r="CP40" s="71">
        <v>1784.3999999999999</v>
      </c>
      <c r="CQ40" s="71">
        <v>4865.8000000000011</v>
      </c>
      <c r="CR40" s="71">
        <v>8456.8000000000065</v>
      </c>
      <c r="CS40" s="71">
        <v>10970.300000000017</v>
      </c>
      <c r="CT40" s="79">
        <v>0</v>
      </c>
      <c r="CU40" s="79">
        <v>0</v>
      </c>
      <c r="CV40" s="79">
        <v>0</v>
      </c>
      <c r="CW40" s="79">
        <v>1.1999999999999957</v>
      </c>
      <c r="CX40" s="79">
        <v>111.30000000000001</v>
      </c>
      <c r="CY40" s="79">
        <v>1096.2000000000005</v>
      </c>
      <c r="CZ40" s="79">
        <v>2676.1</v>
      </c>
      <c r="DA40" s="79">
        <v>2378.800000000002</v>
      </c>
      <c r="DB40" s="79">
        <v>993.40000000000055</v>
      </c>
      <c r="DC40" s="79">
        <v>137.9</v>
      </c>
      <c r="DD40" s="79">
        <v>0</v>
      </c>
      <c r="DE40" s="79">
        <v>0</v>
      </c>
      <c r="DF40" s="87">
        <v>0</v>
      </c>
      <c r="DG40" s="87">
        <v>0</v>
      </c>
      <c r="DH40" s="87">
        <v>0</v>
      </c>
      <c r="DI40" s="87">
        <v>0</v>
      </c>
      <c r="DJ40" s="87">
        <v>0</v>
      </c>
      <c r="DK40" s="87">
        <v>70.2</v>
      </c>
      <c r="DL40" s="87">
        <v>497.00000000000006</v>
      </c>
      <c r="DM40" s="87">
        <v>355.7000000000001</v>
      </c>
      <c r="DN40" s="87">
        <v>40.900000000000006</v>
      </c>
      <c r="DO40" s="87">
        <v>0</v>
      </c>
      <c r="DP40" s="87">
        <v>0</v>
      </c>
      <c r="DQ40" s="87">
        <v>0</v>
      </c>
      <c r="DR40" s="94">
        <v>16322.600000000013</v>
      </c>
      <c r="DS40" s="94">
        <v>13974.699999999973</v>
      </c>
      <c r="DT40" s="94">
        <v>14054.799999999987</v>
      </c>
      <c r="DU40" s="94">
        <v>12139.100000000006</v>
      </c>
      <c r="DV40" s="94">
        <v>9593.6</v>
      </c>
      <c r="DW40" s="94">
        <v>6057.7999999999993</v>
      </c>
      <c r="DX40" s="94">
        <v>3738.6999999999966</v>
      </c>
      <c r="DY40" s="94">
        <v>3920.3999999999946</v>
      </c>
      <c r="DZ40" s="94">
        <v>5871.8999999999978</v>
      </c>
      <c r="EA40" s="94">
        <v>9935.8999999999905</v>
      </c>
      <c r="EB40" s="94">
        <v>13496.79999999999</v>
      </c>
      <c r="EC40" s="94">
        <v>16178.300000000008</v>
      </c>
      <c r="ED40" s="224" t="s">
        <v>304</v>
      </c>
      <c r="EE40" s="542">
        <v>13.2</v>
      </c>
      <c r="EF40" s="542">
        <v>21.6</v>
      </c>
      <c r="EG40" s="542">
        <v>33.6</v>
      </c>
      <c r="EH40" s="542">
        <v>51.6</v>
      </c>
      <c r="EI40" s="542">
        <v>77</v>
      </c>
      <c r="EJ40" s="542">
        <v>100.9</v>
      </c>
      <c r="EK40" s="542">
        <v>100.9</v>
      </c>
      <c r="EL40" s="545">
        <v>9</v>
      </c>
      <c r="EM40" s="545">
        <v>14.8</v>
      </c>
      <c r="EN40" s="545">
        <v>23</v>
      </c>
      <c r="EO40" s="545">
        <v>35.4</v>
      </c>
      <c r="EP40" s="545">
        <v>66.599999999999994</v>
      </c>
      <c r="EQ40" s="545">
        <v>77.900000000000006</v>
      </c>
      <c r="ER40" s="545">
        <v>77.900000000000006</v>
      </c>
      <c r="ES40" s="533">
        <v>18.3</v>
      </c>
      <c r="ET40" s="533">
        <v>13.5</v>
      </c>
      <c r="EU40" s="537">
        <v>28.7</v>
      </c>
      <c r="EV40" s="537">
        <v>21.2</v>
      </c>
      <c r="EW40" s="540">
        <v>7</v>
      </c>
      <c r="EX40" s="540">
        <v>5.0999999999999996</v>
      </c>
    </row>
    <row r="41" spans="1:154" hidden="1">
      <c r="A41" s="66" t="s">
        <v>257</v>
      </c>
      <c r="B41" s="96">
        <v>10.585935483870969</v>
      </c>
      <c r="C41" s="97">
        <v>11.828571428571431</v>
      </c>
      <c r="D41" s="97">
        <v>13.926451612903227</v>
      </c>
      <c r="E41" s="97">
        <v>15.924133333333335</v>
      </c>
      <c r="F41" s="97">
        <v>19.475096774193553</v>
      </c>
      <c r="G41" s="97">
        <v>23.308933333333339</v>
      </c>
      <c r="H41" s="97">
        <v>26.698967741935483</v>
      </c>
      <c r="I41" s="97">
        <v>26.641548387096776</v>
      </c>
      <c r="J41" s="97">
        <v>24.276799999999994</v>
      </c>
      <c r="K41" s="97">
        <v>19.390322580645158</v>
      </c>
      <c r="L41" s="97">
        <v>14.185600000000003</v>
      </c>
      <c r="M41" s="100">
        <v>11.047564516129032</v>
      </c>
      <c r="N41" s="106">
        <v>10.91</v>
      </c>
      <c r="O41" s="106">
        <v>12.29</v>
      </c>
      <c r="P41" s="106">
        <v>14.97</v>
      </c>
      <c r="Q41" s="106">
        <v>17.510000000000002</v>
      </c>
      <c r="R41" s="106">
        <v>22.31</v>
      </c>
      <c r="S41" s="106">
        <v>24.84</v>
      </c>
      <c r="T41" s="106">
        <v>25.54</v>
      </c>
      <c r="U41" s="106">
        <v>24.25</v>
      </c>
      <c r="V41" s="106">
        <v>21.29</v>
      </c>
      <c r="W41" s="106">
        <v>17.600000000000001</v>
      </c>
      <c r="X41" s="106">
        <v>13.96</v>
      </c>
      <c r="Y41" s="106">
        <v>11.56</v>
      </c>
      <c r="Z41" s="102">
        <v>2534.2903225806454</v>
      </c>
      <c r="AA41" s="4">
        <v>3393.1428571428573</v>
      </c>
      <c r="AB41" s="4">
        <v>4441.9354838709678</v>
      </c>
      <c r="AC41" s="4">
        <v>5485.5333333333338</v>
      </c>
      <c r="AD41" s="4">
        <v>6699.9032258064517</v>
      </c>
      <c r="AE41" s="4">
        <v>7187.0333333333338</v>
      </c>
      <c r="AF41" s="4">
        <v>7560.8064516129034</v>
      </c>
      <c r="AG41" s="4">
        <v>6887.1612903225805</v>
      </c>
      <c r="AH41" s="4">
        <v>5321.8</v>
      </c>
      <c r="AI41" s="4">
        <v>3965.9354838709678</v>
      </c>
      <c r="AJ41" s="4">
        <v>2832.4333333333334</v>
      </c>
      <c r="AK41" s="23">
        <v>2301.1290322580644</v>
      </c>
      <c r="AL41" s="29">
        <v>4123.712038550565</v>
      </c>
      <c r="AM41" s="6">
        <v>4142.2665964679536</v>
      </c>
      <c r="AN41" s="6">
        <v>3739.0003353458305</v>
      </c>
      <c r="AO41" s="6">
        <v>3051.3627627343626</v>
      </c>
      <c r="AP41" s="6">
        <v>2718.0594645011884</v>
      </c>
      <c r="AQ41" s="6">
        <v>2528.4798201100198</v>
      </c>
      <c r="AR41" s="6">
        <v>2717.0046231332985</v>
      </c>
      <c r="AS41" s="6">
        <v>3256.1189470085947</v>
      </c>
      <c r="AT41" s="6">
        <v>3832.3786619789885</v>
      </c>
      <c r="AU41" s="6">
        <v>4400.567705851201</v>
      </c>
      <c r="AV41" s="6">
        <v>4343.0376055028701</v>
      </c>
      <c r="AW41" s="30">
        <v>4065.1701474415854</v>
      </c>
      <c r="AX41" s="39">
        <v>3265.1557006334056</v>
      </c>
      <c r="AY41" s="8">
        <v>3541.7333483048105</v>
      </c>
      <c r="AZ41" s="8">
        <v>3675.0888437729336</v>
      </c>
      <c r="BA41" s="8">
        <v>3621.1505654013677</v>
      </c>
      <c r="BB41" s="8">
        <v>3716.728392855332</v>
      </c>
      <c r="BC41" s="8">
        <v>3654.0325279733406</v>
      </c>
      <c r="BD41" s="8">
        <v>3962.0039524243653</v>
      </c>
      <c r="BE41" s="8">
        <v>4239.2956088731307</v>
      </c>
      <c r="BF41" s="8">
        <v>4081.6508836248809</v>
      </c>
      <c r="BG41" s="8">
        <v>3900.1801727563702</v>
      </c>
      <c r="BH41" s="8">
        <v>3490.3972310378667</v>
      </c>
      <c r="BI41" s="40">
        <v>3164.8394803992333</v>
      </c>
      <c r="BJ41" s="49">
        <v>1951.7883369730484</v>
      </c>
      <c r="BK41" s="10">
        <v>2482.0267118217666</v>
      </c>
      <c r="BL41" s="10">
        <v>3072.1409120807925</v>
      </c>
      <c r="BM41" s="10">
        <v>3599.0557190193908</v>
      </c>
      <c r="BN41" s="10">
        <v>4244.5692895009852</v>
      </c>
      <c r="BO41" s="10">
        <v>4474.6903722782772</v>
      </c>
      <c r="BP41" s="10">
        <v>4758.3089850871356</v>
      </c>
      <c r="BQ41" s="10">
        <v>4489.5612470047545</v>
      </c>
      <c r="BR41" s="10">
        <v>3633.4327959191455</v>
      </c>
      <c r="BS41" s="10">
        <v>2869.8139478421404</v>
      </c>
      <c r="BT41" s="10">
        <v>2162.2631196362254</v>
      </c>
      <c r="BU41" s="50">
        <v>1801.2370618672189</v>
      </c>
      <c r="BV41" s="57">
        <v>698.63484326467449</v>
      </c>
      <c r="BW41" s="12">
        <v>927.69558092013403</v>
      </c>
      <c r="BX41" s="12">
        <v>1221.8625350561695</v>
      </c>
      <c r="BY41" s="12">
        <v>1528.3474174659345</v>
      </c>
      <c r="BZ41" s="12">
        <v>1756.2926684445313</v>
      </c>
      <c r="CA41" s="12">
        <v>1845.8385985172158</v>
      </c>
      <c r="CB41" s="12">
        <v>1784.9198830784414</v>
      </c>
      <c r="CC41" s="12">
        <v>1606.9270360034061</v>
      </c>
      <c r="CD41" s="12">
        <v>1338.7773296722685</v>
      </c>
      <c r="CE41" s="12">
        <v>1019.3062506021309</v>
      </c>
      <c r="CF41" s="12">
        <v>755.42738556743836</v>
      </c>
      <c r="CG41" s="63">
        <v>635.986867085678</v>
      </c>
      <c r="CH41" s="71">
        <v>6212.8000000000029</v>
      </c>
      <c r="CI41" s="71">
        <v>4809.1999999999953</v>
      </c>
      <c r="CJ41" s="71">
        <v>3991.2999999999997</v>
      </c>
      <c r="CK41" s="71">
        <v>2752.6000000000013</v>
      </c>
      <c r="CL41" s="71">
        <v>1367.6000000000004</v>
      </c>
      <c r="CM41" s="71">
        <v>311.09999999999985</v>
      </c>
      <c r="CN41" s="71">
        <v>89.200000000000031</v>
      </c>
      <c r="CO41" s="71">
        <v>40.700000000000031</v>
      </c>
      <c r="CP41" s="71">
        <v>131.9</v>
      </c>
      <c r="CQ41" s="71">
        <v>1304.3000000000006</v>
      </c>
      <c r="CR41" s="71">
        <v>3680.400000000001</v>
      </c>
      <c r="CS41" s="71">
        <v>5884.700000000008</v>
      </c>
      <c r="CT41" s="79">
        <v>3.5999999999999943</v>
      </c>
      <c r="CU41" s="79">
        <v>40.4</v>
      </c>
      <c r="CV41" s="79">
        <v>282.79999999999995</v>
      </c>
      <c r="CW41" s="79">
        <v>619.99999999999989</v>
      </c>
      <c r="CX41" s="79">
        <v>1811.8999999999994</v>
      </c>
      <c r="CY41" s="79">
        <v>3512.5</v>
      </c>
      <c r="CZ41" s="79">
        <v>5931.2999999999984</v>
      </c>
      <c r="DA41" s="79">
        <v>5838.8000000000093</v>
      </c>
      <c r="DB41" s="79">
        <v>4028.4999999999991</v>
      </c>
      <c r="DC41" s="79">
        <v>1673.5999999999997</v>
      </c>
      <c r="DD41" s="79">
        <v>265.79999999999995</v>
      </c>
      <c r="DE41" s="79">
        <v>18.599999999999998</v>
      </c>
      <c r="DF41" s="87">
        <v>0</v>
      </c>
      <c r="DG41" s="87">
        <v>0</v>
      </c>
      <c r="DH41" s="87">
        <v>0</v>
      </c>
      <c r="DI41" s="87">
        <v>10.000000000000007</v>
      </c>
      <c r="DJ41" s="87">
        <v>251.19999999999993</v>
      </c>
      <c r="DK41" s="87">
        <v>909.30000000000018</v>
      </c>
      <c r="DL41" s="87">
        <v>2188.6999999999989</v>
      </c>
      <c r="DM41" s="87">
        <v>2113.7999999999979</v>
      </c>
      <c r="DN41" s="87">
        <v>1067.8</v>
      </c>
      <c r="DO41" s="87">
        <v>236.6</v>
      </c>
      <c r="DP41" s="87">
        <v>0</v>
      </c>
      <c r="DQ41" s="87">
        <v>0</v>
      </c>
      <c r="DR41" s="94">
        <v>11417.199999999999</v>
      </c>
      <c r="DS41" s="94">
        <v>9472.800000000012</v>
      </c>
      <c r="DT41" s="94">
        <v>8916.5000000000036</v>
      </c>
      <c r="DU41" s="94">
        <v>7182.5999999999967</v>
      </c>
      <c r="DV41" s="94">
        <v>5014.899999999996</v>
      </c>
      <c r="DW41" s="94">
        <v>2747.8999999999987</v>
      </c>
      <c r="DX41" s="94">
        <v>1554.5999999999995</v>
      </c>
      <c r="DY41" s="94">
        <v>1523.7</v>
      </c>
      <c r="DZ41" s="94">
        <v>2211.2000000000021</v>
      </c>
      <c r="EA41" s="94">
        <v>5075.2999999999965</v>
      </c>
      <c r="EB41" s="94">
        <v>8454.6000000000022</v>
      </c>
      <c r="EC41" s="94">
        <v>11074.100000000009</v>
      </c>
      <c r="ED41" s="225" t="s">
        <v>152</v>
      </c>
      <c r="EE41" s="542">
        <v>6.3</v>
      </c>
      <c r="EF41" s="542">
        <v>11.1</v>
      </c>
      <c r="EG41" s="542">
        <v>17.899999999999999</v>
      </c>
      <c r="EH41" s="542">
        <v>28.2</v>
      </c>
      <c r="EI41" s="542">
        <v>54.5</v>
      </c>
      <c r="EJ41" s="542">
        <v>67</v>
      </c>
      <c r="EK41" s="542">
        <v>67</v>
      </c>
      <c r="EL41" s="545">
        <v>4.0999999999999996</v>
      </c>
      <c r="EM41" s="545">
        <v>7.2</v>
      </c>
      <c r="EN41" s="545">
        <v>11.7</v>
      </c>
      <c r="EO41" s="545">
        <v>18.399999999999999</v>
      </c>
      <c r="EP41" s="545">
        <v>42.6</v>
      </c>
      <c r="EQ41" s="545">
        <v>46.4</v>
      </c>
      <c r="ER41" s="545">
        <v>46.4</v>
      </c>
      <c r="ES41" s="533">
        <v>16.7</v>
      </c>
      <c r="ET41" s="533">
        <v>12.3</v>
      </c>
      <c r="EU41" s="537">
        <v>26.2</v>
      </c>
      <c r="EV41" s="537">
        <v>19.3</v>
      </c>
      <c r="EW41" s="540">
        <v>6.3</v>
      </c>
      <c r="EX41" s="540">
        <v>4.7</v>
      </c>
    </row>
    <row r="42" spans="1:154" hidden="1">
      <c r="A42" s="345" t="s">
        <v>300</v>
      </c>
      <c r="B42" s="96">
        <v>2.8428387096774199</v>
      </c>
      <c r="C42" s="97">
        <v>3.8991428571428566</v>
      </c>
      <c r="D42" s="97">
        <v>5.75058064516129</v>
      </c>
      <c r="E42" s="97">
        <v>7.8411999999999979</v>
      </c>
      <c r="F42" s="97">
        <v>11.620129032258067</v>
      </c>
      <c r="G42" s="97">
        <v>15.973733333333334</v>
      </c>
      <c r="H42" s="97">
        <v>19.744645161290318</v>
      </c>
      <c r="I42" s="97">
        <v>19.392129032258065</v>
      </c>
      <c r="J42" s="97">
        <v>16.366666666666671</v>
      </c>
      <c r="K42" s="97">
        <v>11.213677419354839</v>
      </c>
      <c r="L42" s="97">
        <v>6.079466666666665</v>
      </c>
      <c r="M42" s="100">
        <v>3.3222741935483864</v>
      </c>
      <c r="N42" s="106">
        <v>9.5299999999999994</v>
      </c>
      <c r="O42" s="106">
        <v>5.77</v>
      </c>
      <c r="P42" s="106">
        <v>3.46</v>
      </c>
      <c r="Q42" s="106">
        <v>2.76</v>
      </c>
      <c r="R42" s="106">
        <v>4.1399999999999997</v>
      </c>
      <c r="S42" s="106">
        <v>7.27</v>
      </c>
      <c r="T42" s="106">
        <v>11.16</v>
      </c>
      <c r="U42" s="106">
        <v>14.96</v>
      </c>
      <c r="V42" s="106">
        <v>17.510000000000002</v>
      </c>
      <c r="W42" s="106">
        <v>18.11</v>
      </c>
      <c r="X42" s="106">
        <v>16.63</v>
      </c>
      <c r="Y42" s="106">
        <v>13.55</v>
      </c>
      <c r="Z42" s="102">
        <v>1671.4193548387098</v>
      </c>
      <c r="AA42" s="4">
        <v>2384.0714285714284</v>
      </c>
      <c r="AB42" s="4">
        <v>3469.5806451612902</v>
      </c>
      <c r="AC42" s="4">
        <v>4489.6000000000004</v>
      </c>
      <c r="AD42" s="4">
        <v>5669.2580645161288</v>
      </c>
      <c r="AE42" s="4">
        <v>6674.2333333333336</v>
      </c>
      <c r="AF42" s="4">
        <v>7256.0645161290322</v>
      </c>
      <c r="AG42" s="4">
        <v>6359.8387096774195</v>
      </c>
      <c r="AH42" s="4">
        <v>4550.5333333333338</v>
      </c>
      <c r="AI42" s="4">
        <v>2997.4516129032259</v>
      </c>
      <c r="AJ42" s="4">
        <v>1916.3333333333333</v>
      </c>
      <c r="AK42" s="23">
        <v>1520.6129032258063</v>
      </c>
      <c r="AL42" s="29">
        <v>2838.5230629027278</v>
      </c>
      <c r="AM42" s="6">
        <v>3013.273319973845</v>
      </c>
      <c r="AN42" s="6">
        <v>3104.7995461119535</v>
      </c>
      <c r="AO42" s="6">
        <v>2747.3315984282176</v>
      </c>
      <c r="AP42" s="6">
        <v>2654.158187842263</v>
      </c>
      <c r="AQ42" s="6">
        <v>2696.9176992790403</v>
      </c>
      <c r="AR42" s="6">
        <v>2976.311701428363</v>
      </c>
      <c r="AS42" s="6">
        <v>3390.1790432961188</v>
      </c>
      <c r="AT42" s="6">
        <v>3583.5636602855948</v>
      </c>
      <c r="AU42" s="6">
        <v>3522.4335535127948</v>
      </c>
      <c r="AV42" s="6">
        <v>3068.4277712891399</v>
      </c>
      <c r="AW42" s="30">
        <v>2853.8623208500321</v>
      </c>
      <c r="AX42" s="39">
        <v>2238.9643832413435</v>
      </c>
      <c r="AY42" s="8">
        <v>2556.3789992996212</v>
      </c>
      <c r="AZ42" s="8">
        <v>2982.5580734485434</v>
      </c>
      <c r="BA42" s="8">
        <v>3096.818619999051</v>
      </c>
      <c r="BB42" s="8">
        <v>3331.7650318392789</v>
      </c>
      <c r="BC42" s="8">
        <v>3598.8075993862785</v>
      </c>
      <c r="BD42" s="8">
        <v>4035.6243525472751</v>
      </c>
      <c r="BE42" s="8">
        <v>4162.4889599928565</v>
      </c>
      <c r="BF42" s="8">
        <v>3691.0912800879387</v>
      </c>
      <c r="BG42" s="8">
        <v>3078.1186365856347</v>
      </c>
      <c r="BH42" s="8">
        <v>2453.53379984917</v>
      </c>
      <c r="BI42" s="40">
        <v>2211.0535287868538</v>
      </c>
      <c r="BJ42" s="49">
        <v>1319.3239789683869</v>
      </c>
      <c r="BK42" s="10">
        <v>1776.6641281347063</v>
      </c>
      <c r="BL42" s="10">
        <v>2448.433737546618</v>
      </c>
      <c r="BM42" s="10">
        <v>2994.7008621121822</v>
      </c>
      <c r="BN42" s="10">
        <v>3649.8434803303912</v>
      </c>
      <c r="BO42" s="10">
        <v>4235.878881923436</v>
      </c>
      <c r="BP42" s="10">
        <v>4673.3343497598935</v>
      </c>
      <c r="BQ42" s="10">
        <v>4256.949665153018</v>
      </c>
      <c r="BR42" s="10">
        <v>3193.9314674530301</v>
      </c>
      <c r="BS42" s="10">
        <v>2224.9893485468642</v>
      </c>
      <c r="BT42" s="10">
        <v>1499.4367883540554</v>
      </c>
      <c r="BU42" s="50">
        <v>1228.4382757953515</v>
      </c>
      <c r="BV42" s="57">
        <v>543.99512078405598</v>
      </c>
      <c r="BW42" s="12">
        <v>771.30550536412557</v>
      </c>
      <c r="BX42" s="12">
        <v>1091.8842892788475</v>
      </c>
      <c r="BY42" s="12">
        <v>1428.2981908913034</v>
      </c>
      <c r="BZ42" s="12">
        <v>1714.9968012363952</v>
      </c>
      <c r="CA42" s="12">
        <v>1854.6513302775616</v>
      </c>
      <c r="CB42" s="12">
        <v>1797.6802539679402</v>
      </c>
      <c r="CC42" s="12">
        <v>1586.1760614085133</v>
      </c>
      <c r="CD42" s="12">
        <v>1258.3202003271776</v>
      </c>
      <c r="CE42" s="12">
        <v>891.62924706037666</v>
      </c>
      <c r="CF42" s="12">
        <v>605.60534932744918</v>
      </c>
      <c r="CG42" s="63">
        <v>488.51979564486101</v>
      </c>
      <c r="CH42" s="71">
        <v>11977.400000000009</v>
      </c>
      <c r="CI42" s="71">
        <v>10103.499999999998</v>
      </c>
      <c r="CJ42" s="71">
        <v>9789.2999999999938</v>
      </c>
      <c r="CK42" s="71">
        <v>7954.7000000000007</v>
      </c>
      <c r="CL42" s="71">
        <v>5486.5000000000009</v>
      </c>
      <c r="CM42" s="71">
        <v>2853.0999999999949</v>
      </c>
      <c r="CN42" s="71">
        <v>1557.8000000000009</v>
      </c>
      <c r="CO42" s="71">
        <v>1586.0000000000002</v>
      </c>
      <c r="CP42" s="71">
        <v>2697.6999999999994</v>
      </c>
      <c r="CQ42" s="71">
        <v>5761.9999999999854</v>
      </c>
      <c r="CR42" s="71">
        <v>9249.099999999984</v>
      </c>
      <c r="CS42" s="71">
        <v>11622.299999999988</v>
      </c>
      <c r="CT42" s="79">
        <v>0</v>
      </c>
      <c r="CU42" s="79">
        <v>0</v>
      </c>
      <c r="CV42" s="79">
        <v>0</v>
      </c>
      <c r="CW42" s="79">
        <v>0</v>
      </c>
      <c r="CX42" s="79">
        <v>89.000000000000014</v>
      </c>
      <c r="CY42" s="79">
        <v>774.50000000000011</v>
      </c>
      <c r="CZ42" s="79">
        <v>2233.3000000000006</v>
      </c>
      <c r="DA42" s="79">
        <v>1995.4999999999991</v>
      </c>
      <c r="DB42" s="79">
        <v>901.49999999999966</v>
      </c>
      <c r="DC42" s="79">
        <v>48.999999999999993</v>
      </c>
      <c r="DD42" s="79">
        <v>0</v>
      </c>
      <c r="DE42" s="79">
        <v>0</v>
      </c>
      <c r="DF42" s="87">
        <v>0</v>
      </c>
      <c r="DG42" s="87">
        <v>0</v>
      </c>
      <c r="DH42" s="87">
        <v>0</v>
      </c>
      <c r="DI42" s="87">
        <v>0</v>
      </c>
      <c r="DJ42" s="87">
        <v>0</v>
      </c>
      <c r="DK42" s="87">
        <v>0.30000000000000426</v>
      </c>
      <c r="DL42" s="87">
        <v>399.29999999999995</v>
      </c>
      <c r="DM42" s="87">
        <v>277.29999999999978</v>
      </c>
      <c r="DN42" s="87">
        <v>40.000000000000007</v>
      </c>
      <c r="DO42" s="87">
        <v>0</v>
      </c>
      <c r="DP42" s="87">
        <v>0</v>
      </c>
      <c r="DQ42" s="87">
        <v>0</v>
      </c>
      <c r="DR42" s="94">
        <v>17185.400000000009</v>
      </c>
      <c r="DS42" s="94">
        <v>14807.499999999985</v>
      </c>
      <c r="DT42" s="94">
        <v>14997.299999999996</v>
      </c>
      <c r="DU42" s="94">
        <v>12994.700000000004</v>
      </c>
      <c r="DV42" s="94">
        <v>10605.500000000002</v>
      </c>
      <c r="DW42" s="94">
        <v>7118.8999999999942</v>
      </c>
      <c r="DX42" s="94">
        <v>4931.7999999999956</v>
      </c>
      <c r="DY42" s="94">
        <v>5075.7999999999993</v>
      </c>
      <c r="DZ42" s="94">
        <v>6876.2000000000016</v>
      </c>
      <c r="EA42" s="94">
        <v>10921.000000000016</v>
      </c>
      <c r="EB42" s="94">
        <v>14289.09999999998</v>
      </c>
      <c r="EC42" s="94">
        <v>16830.300000000003</v>
      </c>
      <c r="ED42" s="224" t="s">
        <v>294</v>
      </c>
      <c r="EE42" s="542">
        <v>15.3</v>
      </c>
      <c r="EF42" s="542">
        <v>23.5</v>
      </c>
      <c r="EG42" s="542">
        <v>35.1</v>
      </c>
      <c r="EH42" s="542">
        <v>52.5</v>
      </c>
      <c r="EI42" s="542">
        <v>85.3</v>
      </c>
      <c r="EJ42" s="542">
        <v>99.8</v>
      </c>
      <c r="EK42" s="542">
        <v>99.8</v>
      </c>
      <c r="EL42" s="545">
        <v>11.6</v>
      </c>
      <c r="EM42" s="545">
        <v>17.899999999999999</v>
      </c>
      <c r="EN42" s="545">
        <v>26.7</v>
      </c>
      <c r="EO42" s="545">
        <v>39.700000000000003</v>
      </c>
      <c r="EP42" s="545">
        <v>74.099999999999994</v>
      </c>
      <c r="EQ42" s="545">
        <v>86.7</v>
      </c>
      <c r="ER42" s="545">
        <v>86.7</v>
      </c>
      <c r="ES42" s="533">
        <v>18.7</v>
      </c>
      <c r="ET42" s="533">
        <v>13.7</v>
      </c>
      <c r="EU42" s="537">
        <v>29.4</v>
      </c>
      <c r="EV42" s="537">
        <v>21.5</v>
      </c>
      <c r="EW42" s="540">
        <v>7.1</v>
      </c>
      <c r="EX42" s="540">
        <v>5.2</v>
      </c>
    </row>
    <row r="43" spans="1:154" hidden="1">
      <c r="A43" s="345" t="s">
        <v>312</v>
      </c>
      <c r="B43" s="96">
        <v>9.9655483870967725</v>
      </c>
      <c r="C43" s="97">
        <v>11.222428571428569</v>
      </c>
      <c r="D43" s="97">
        <v>12.955354838709676</v>
      </c>
      <c r="E43" s="97">
        <v>15.154133333333332</v>
      </c>
      <c r="F43" s="97">
        <v>18.287999999999997</v>
      </c>
      <c r="G43" s="97">
        <v>22.092533333333332</v>
      </c>
      <c r="H43" s="97">
        <v>25.212258064516135</v>
      </c>
      <c r="I43" s="97">
        <v>25.19109677419355</v>
      </c>
      <c r="J43" s="97">
        <v>22.646266666666669</v>
      </c>
      <c r="K43" s="97">
        <v>18.261548387096777</v>
      </c>
      <c r="L43" s="97">
        <v>13.4216</v>
      </c>
      <c r="M43" s="100">
        <v>10.604881720430111</v>
      </c>
      <c r="N43" s="106">
        <v>10.9</v>
      </c>
      <c r="O43" s="106">
        <v>10.28</v>
      </c>
      <c r="P43" s="106">
        <v>11.38</v>
      </c>
      <c r="Q43" s="106">
        <v>13.09</v>
      </c>
      <c r="R43" s="106">
        <v>17.579999999999998</v>
      </c>
      <c r="S43" s="106">
        <v>21.05</v>
      </c>
      <c r="T43" s="106">
        <v>23.38</v>
      </c>
      <c r="U43" s="106">
        <v>24.09</v>
      </c>
      <c r="V43" s="106">
        <v>22.88</v>
      </c>
      <c r="W43" s="106">
        <v>20.190000000000001</v>
      </c>
      <c r="X43" s="106">
        <v>16.600000000000001</v>
      </c>
      <c r="Y43" s="106">
        <v>13.26</v>
      </c>
      <c r="Z43" s="102">
        <v>2182.8709677419356</v>
      </c>
      <c r="AA43" s="4">
        <v>2903.6428571428573</v>
      </c>
      <c r="AB43" s="4">
        <v>4153.2903225806449</v>
      </c>
      <c r="AC43" s="4">
        <v>5124.1000000000004</v>
      </c>
      <c r="AD43" s="4">
        <v>5943.9677419354839</v>
      </c>
      <c r="AE43" s="4">
        <v>6529.7666666666664</v>
      </c>
      <c r="AF43" s="4">
        <v>6849.7096774193551</v>
      </c>
      <c r="AG43" s="4">
        <v>5901.4838709677415</v>
      </c>
      <c r="AH43" s="4">
        <v>4677.1000000000004</v>
      </c>
      <c r="AI43" s="4">
        <v>3422.6451612903224</v>
      </c>
      <c r="AJ43" s="4">
        <v>2387.1999999999998</v>
      </c>
      <c r="AK43" s="23">
        <v>1965.2258064516129</v>
      </c>
      <c r="AL43" s="29">
        <v>3980.2700508332232</v>
      </c>
      <c r="AM43" s="6">
        <v>3816.6345793803594</v>
      </c>
      <c r="AN43" s="6">
        <v>3787.0583857315673</v>
      </c>
      <c r="AO43" s="6">
        <v>3078.7353096109437</v>
      </c>
      <c r="AP43" s="6">
        <v>2700.0987443089148</v>
      </c>
      <c r="AQ43" s="6">
        <v>2606.5455299978407</v>
      </c>
      <c r="AR43" s="6">
        <v>2803.8681825949534</v>
      </c>
      <c r="AS43" s="6">
        <v>3101.737129848877</v>
      </c>
      <c r="AT43" s="6">
        <v>3611.7697844948043</v>
      </c>
      <c r="AU43" s="6">
        <v>4074.1336328526836</v>
      </c>
      <c r="AV43" s="6">
        <v>4017.0690652328767</v>
      </c>
      <c r="AW43" s="30">
        <v>3934.3259671086826</v>
      </c>
      <c r="AX43" s="39">
        <v>3106.2470147419704</v>
      </c>
      <c r="AY43" s="8">
        <v>3219.0932927999747</v>
      </c>
      <c r="AZ43" s="8">
        <v>3645.3044607505899</v>
      </c>
      <c r="BA43" s="8">
        <v>3534.2278810027951</v>
      </c>
      <c r="BB43" s="8">
        <v>3452.4767132808829</v>
      </c>
      <c r="BC43" s="8">
        <v>3491.3997283695385</v>
      </c>
      <c r="BD43" s="8">
        <v>3779.287943336532</v>
      </c>
      <c r="BE43" s="8">
        <v>3794.0492414077034</v>
      </c>
      <c r="BF43" s="8">
        <v>3743.7549987721486</v>
      </c>
      <c r="BG43" s="8">
        <v>3556.985421032779</v>
      </c>
      <c r="BH43" s="8">
        <v>3187.5653197582965</v>
      </c>
      <c r="BI43" s="40">
        <v>3019.6375587009193</v>
      </c>
      <c r="BJ43" s="49">
        <v>1766.7359538496594</v>
      </c>
      <c r="BK43" s="10">
        <v>2192.9413945957731</v>
      </c>
      <c r="BL43" s="10">
        <v>2960.0503376518509</v>
      </c>
      <c r="BM43" s="10">
        <v>3429.5406685065286</v>
      </c>
      <c r="BN43" s="10">
        <v>3815.7458992569505</v>
      </c>
      <c r="BO43" s="10">
        <v>4120.1984682294878</v>
      </c>
      <c r="BP43" s="10">
        <v>4374.3444407754278</v>
      </c>
      <c r="BQ43" s="10">
        <v>3900.5001485049861</v>
      </c>
      <c r="BR43" s="10">
        <v>3260.151343101702</v>
      </c>
      <c r="BS43" s="10">
        <v>2551.2176522765026</v>
      </c>
      <c r="BT43" s="10">
        <v>1899.761660953727</v>
      </c>
      <c r="BU43" s="50">
        <v>1624.6140332529719</v>
      </c>
      <c r="BV43" s="57">
        <v>606.74367753195349</v>
      </c>
      <c r="BW43" s="12">
        <v>833.77492162428564</v>
      </c>
      <c r="BX43" s="12">
        <v>1153.2326166294035</v>
      </c>
      <c r="BY43" s="12">
        <v>1481.9016278437559</v>
      </c>
      <c r="BZ43" s="12">
        <v>1731.8216272270547</v>
      </c>
      <c r="CA43" s="12">
        <v>1848.2247777814955</v>
      </c>
      <c r="CB43" s="12">
        <v>1801.7597994321352</v>
      </c>
      <c r="CC43" s="12">
        <v>1592.5394263792493</v>
      </c>
      <c r="CD43" s="12">
        <v>1276.7680504197983</v>
      </c>
      <c r="CE43" s="12">
        <v>933.74763938899036</v>
      </c>
      <c r="CF43" s="12">
        <v>661.11052364689328</v>
      </c>
      <c r="CG43" s="63">
        <v>544.63765282186193</v>
      </c>
      <c r="CH43" s="71">
        <v>6671.8000000000084</v>
      </c>
      <c r="CI43" s="71">
        <v>5196.7</v>
      </c>
      <c r="CJ43" s="71">
        <v>4551.1999999999916</v>
      </c>
      <c r="CK43" s="71">
        <v>3195.7000000000007</v>
      </c>
      <c r="CL43" s="71">
        <v>1764.6000000000013</v>
      </c>
      <c r="CM43" s="71">
        <v>291.69999999999987</v>
      </c>
      <c r="CN43" s="71">
        <v>8.5000000000000036</v>
      </c>
      <c r="CO43" s="71">
        <v>26.000000000000011</v>
      </c>
      <c r="CP43" s="71">
        <v>215.90000000000015</v>
      </c>
      <c r="CQ43" s="71">
        <v>1439.7999999999995</v>
      </c>
      <c r="CR43" s="71">
        <v>4019.4999999999973</v>
      </c>
      <c r="CS43" s="71">
        <v>6201.5999999999958</v>
      </c>
      <c r="CT43" s="79">
        <v>0.39999999999999858</v>
      </c>
      <c r="CU43" s="79">
        <v>22.999999999999996</v>
      </c>
      <c r="CV43" s="79">
        <v>126.1</v>
      </c>
      <c r="CW43" s="79">
        <v>497.7</v>
      </c>
      <c r="CX43" s="79">
        <v>1315.6999999999991</v>
      </c>
      <c r="CY43" s="79">
        <v>2602.3999999999992</v>
      </c>
      <c r="CZ43" s="79">
        <v>4719.8999999999905</v>
      </c>
      <c r="DA43" s="79">
        <v>4712.8000000000029</v>
      </c>
      <c r="DB43" s="79">
        <v>2915.0000000000009</v>
      </c>
      <c r="DC43" s="79">
        <v>963.00000000000102</v>
      </c>
      <c r="DD43" s="79">
        <v>56.800000000000004</v>
      </c>
      <c r="DE43" s="79">
        <v>0</v>
      </c>
      <c r="DF43" s="87">
        <v>0</v>
      </c>
      <c r="DG43" s="87">
        <v>0</v>
      </c>
      <c r="DH43" s="87">
        <v>0</v>
      </c>
      <c r="DI43" s="87">
        <v>18.100000000000009</v>
      </c>
      <c r="DJ43" s="87">
        <v>138.19999999999999</v>
      </c>
      <c r="DK43" s="87">
        <v>327.30000000000007</v>
      </c>
      <c r="DL43" s="87">
        <v>1068.1000000000008</v>
      </c>
      <c r="DM43" s="87">
        <v>984.3</v>
      </c>
      <c r="DN43" s="87">
        <v>383.7000000000001</v>
      </c>
      <c r="DO43" s="87">
        <v>17.900000000000009</v>
      </c>
      <c r="DP43" s="87">
        <v>0</v>
      </c>
      <c r="DQ43" s="87">
        <v>0</v>
      </c>
      <c r="DR43" s="94">
        <v>11879.4</v>
      </c>
      <c r="DS43" s="94">
        <v>9877.7000000000044</v>
      </c>
      <c r="DT43" s="94">
        <v>9633.1000000000022</v>
      </c>
      <c r="DU43" s="94">
        <v>7756.0999999999976</v>
      </c>
      <c r="DV43" s="94">
        <v>5795.0999999999894</v>
      </c>
      <c r="DW43" s="94">
        <v>3056.5999999999963</v>
      </c>
      <c r="DX43" s="94">
        <v>1564.6999999999982</v>
      </c>
      <c r="DY43" s="94">
        <v>1505.5000000000009</v>
      </c>
      <c r="DZ43" s="94">
        <v>2724.6000000000004</v>
      </c>
      <c r="EA43" s="94">
        <v>5702.7000000000062</v>
      </c>
      <c r="EB43" s="94">
        <v>9002.6999999999989</v>
      </c>
      <c r="EC43" s="94">
        <v>11409.599999999999</v>
      </c>
      <c r="ED43" s="224" t="s">
        <v>298</v>
      </c>
      <c r="EE43" s="542">
        <v>6</v>
      </c>
      <c r="EF43" s="542">
        <v>11.5</v>
      </c>
      <c r="EG43" s="542">
        <v>19.3</v>
      </c>
      <c r="EH43" s="542">
        <v>31.1</v>
      </c>
      <c r="EI43" s="542">
        <v>50.7</v>
      </c>
      <c r="EJ43" s="542">
        <v>59.3</v>
      </c>
      <c r="EK43" s="542">
        <v>59.3</v>
      </c>
      <c r="EL43" s="545">
        <v>3.9</v>
      </c>
      <c r="EM43" s="545">
        <v>7.4</v>
      </c>
      <c r="EN43" s="545">
        <v>12.5</v>
      </c>
      <c r="EO43" s="545">
        <v>20</v>
      </c>
      <c r="EP43" s="545">
        <v>37.200000000000003</v>
      </c>
      <c r="EQ43" s="545">
        <v>42</v>
      </c>
      <c r="ER43" s="545">
        <v>42</v>
      </c>
      <c r="ES43" s="533">
        <v>17</v>
      </c>
      <c r="ET43" s="533">
        <v>12.4</v>
      </c>
      <c r="EU43" s="537">
        <v>26.7</v>
      </c>
      <c r="EV43" s="537">
        <v>19.5</v>
      </c>
      <c r="EW43" s="540">
        <v>6.5</v>
      </c>
      <c r="EX43" s="540">
        <v>4.7</v>
      </c>
    </row>
    <row r="44" spans="1:154" hidden="1">
      <c r="A44" s="345" t="s">
        <v>341</v>
      </c>
      <c r="B44" s="96">
        <v>17.896258064516125</v>
      </c>
      <c r="C44" s="97">
        <v>17.974857142857143</v>
      </c>
      <c r="D44" s="97">
        <v>18.583741935483872</v>
      </c>
      <c r="E44" s="97">
        <v>19.0472</v>
      </c>
      <c r="F44" s="97">
        <v>20.439870967741932</v>
      </c>
      <c r="G44" s="97">
        <v>22.112266666666663</v>
      </c>
      <c r="H44" s="97">
        <v>24.479870967741935</v>
      </c>
      <c r="I44" s="97">
        <v>24.997290322580643</v>
      </c>
      <c r="J44" s="97">
        <v>24.322400000000009</v>
      </c>
      <c r="K44" s="97">
        <v>22.320129032258066</v>
      </c>
      <c r="L44" s="97">
        <v>20.699999999999992</v>
      </c>
      <c r="M44" s="100">
        <v>18.7297311827957</v>
      </c>
      <c r="N44" s="106">
        <v>18.09</v>
      </c>
      <c r="O44" s="106">
        <v>17.809999999999999</v>
      </c>
      <c r="P44" s="106">
        <v>18.32</v>
      </c>
      <c r="Q44" s="106">
        <v>19.12</v>
      </c>
      <c r="R44" s="106">
        <v>21.21</v>
      </c>
      <c r="S44" s="106">
        <v>22.83</v>
      </c>
      <c r="T44" s="106">
        <v>23.92</v>
      </c>
      <c r="U44" s="106">
        <v>24.25</v>
      </c>
      <c r="V44" s="106">
        <v>23.69</v>
      </c>
      <c r="W44" s="106">
        <v>22.43</v>
      </c>
      <c r="X44" s="106">
        <v>20.75</v>
      </c>
      <c r="Y44" s="106">
        <v>19.2</v>
      </c>
      <c r="Z44" s="102">
        <v>3690.8387096774195</v>
      </c>
      <c r="AA44" s="4">
        <v>4602.1428571428569</v>
      </c>
      <c r="AB44" s="4">
        <v>5400.5161290322585</v>
      </c>
      <c r="AC44" s="4">
        <v>6278.4333333333334</v>
      </c>
      <c r="AD44" s="4">
        <v>6821.2580645161288</v>
      </c>
      <c r="AE44" s="4">
        <v>7038.9</v>
      </c>
      <c r="AF44" s="4">
        <v>7284.7741935483873</v>
      </c>
      <c r="AG44" s="4">
        <v>6973.4516129032254</v>
      </c>
      <c r="AH44" s="4">
        <v>6086.2333333333336</v>
      </c>
      <c r="AI44" s="4">
        <v>4961.9677419354839</v>
      </c>
      <c r="AJ44" s="4">
        <v>3987.3</v>
      </c>
      <c r="AK44" s="23">
        <v>3450.1935483870966</v>
      </c>
      <c r="AL44" s="29">
        <v>4790.8606731924947</v>
      </c>
      <c r="AM44" s="6">
        <v>4614.7808786060741</v>
      </c>
      <c r="AN44" s="6">
        <v>3722.3911492504617</v>
      </c>
      <c r="AO44" s="6">
        <v>2766.7446984618769</v>
      </c>
      <c r="AP44" s="6">
        <v>2174.0415077731782</v>
      </c>
      <c r="AQ44" s="6">
        <v>1977.2292346149138</v>
      </c>
      <c r="AR44" s="6">
        <v>2068.3779549804931</v>
      </c>
      <c r="AS44" s="6">
        <v>2569.5535308052467</v>
      </c>
      <c r="AT44" s="6">
        <v>3507.4332899308542</v>
      </c>
      <c r="AU44" s="6">
        <v>4457.0624121242035</v>
      </c>
      <c r="AV44" s="6">
        <v>4890.9358679187599</v>
      </c>
      <c r="AW44" s="30">
        <v>4809.3046237198532</v>
      </c>
      <c r="AX44" s="39">
        <v>3924.1906471573543</v>
      </c>
      <c r="AY44" s="8">
        <v>4121.0510227170134</v>
      </c>
      <c r="AZ44" s="8">
        <v>3917.3733877891364</v>
      </c>
      <c r="BA44" s="8">
        <v>3692.8723754340599</v>
      </c>
      <c r="BB44" s="8">
        <v>3397.6587273383579</v>
      </c>
      <c r="BC44" s="8">
        <v>3235.5671222943547</v>
      </c>
      <c r="BD44" s="8">
        <v>3435.2256285351195</v>
      </c>
      <c r="BE44" s="8">
        <v>3800.0720214644807</v>
      </c>
      <c r="BF44" s="8">
        <v>4082.0337593408312</v>
      </c>
      <c r="BG44" s="8">
        <v>4163.3679798957382</v>
      </c>
      <c r="BH44" s="8">
        <v>4077.7450825785454</v>
      </c>
      <c r="BI44" s="40">
        <v>3864.451807945622</v>
      </c>
      <c r="BJ44" s="49">
        <v>2591.5139950403609</v>
      </c>
      <c r="BK44" s="10">
        <v>3127.8641450175437</v>
      </c>
      <c r="BL44" s="10">
        <v>3523.7496189063031</v>
      </c>
      <c r="BM44" s="10">
        <v>3945.0566947576413</v>
      </c>
      <c r="BN44" s="10">
        <v>4165.3367398230494</v>
      </c>
      <c r="BO44" s="10">
        <v>4241.7066043214518</v>
      </c>
      <c r="BP44" s="10">
        <v>4417.6840279385096</v>
      </c>
      <c r="BQ44" s="10">
        <v>4336.3705301455757</v>
      </c>
      <c r="BR44" s="10">
        <v>3923.9885697213467</v>
      </c>
      <c r="BS44" s="10">
        <v>3332.9211880740081</v>
      </c>
      <c r="BT44" s="10">
        <v>2781.5990658255491</v>
      </c>
      <c r="BU44" s="50">
        <v>2447.5322501916421</v>
      </c>
      <c r="BV44" s="57">
        <v>938.65475296640784</v>
      </c>
      <c r="BW44" s="12">
        <v>1141.1714596706777</v>
      </c>
      <c r="BX44" s="12">
        <v>1382.4516684902464</v>
      </c>
      <c r="BY44" s="12">
        <v>1609.3103077209305</v>
      </c>
      <c r="BZ44" s="12">
        <v>1749.5224436979181</v>
      </c>
      <c r="CA44" s="12">
        <v>1799.2238137566569</v>
      </c>
      <c r="CB44" s="12">
        <v>1764.0152034091179</v>
      </c>
      <c r="CC44" s="12">
        <v>1649.8186546161714</v>
      </c>
      <c r="CD44" s="12">
        <v>1456.7833643559866</v>
      </c>
      <c r="CE44" s="12">
        <v>1208.1729757976316</v>
      </c>
      <c r="CF44" s="12">
        <v>984.86134437368321</v>
      </c>
      <c r="CG44" s="63">
        <v>879.90426692533617</v>
      </c>
      <c r="CH44" s="71">
        <v>1210.399999999998</v>
      </c>
      <c r="CI44" s="71">
        <v>1105.3</v>
      </c>
      <c r="CJ44" s="71">
        <v>972.89999999999952</v>
      </c>
      <c r="CK44" s="71">
        <v>765.80000000000007</v>
      </c>
      <c r="CL44" s="71">
        <v>334.79999999999978</v>
      </c>
      <c r="CM44" s="71">
        <v>130.89999999999998</v>
      </c>
      <c r="CN44" s="71">
        <v>4.8000000000000114</v>
      </c>
      <c r="CO44" s="71">
        <v>8.0000000000000178</v>
      </c>
      <c r="CP44" s="71">
        <v>0.20000000000000284</v>
      </c>
      <c r="CQ44" s="71">
        <v>49.900000000000055</v>
      </c>
      <c r="CR44" s="71">
        <v>170.29999999999961</v>
      </c>
      <c r="CS44" s="71">
        <v>806.40000000000202</v>
      </c>
      <c r="CT44" s="79">
        <v>420.79999999999984</v>
      </c>
      <c r="CU44" s="79">
        <v>449.50000000000006</v>
      </c>
      <c r="CV44" s="79">
        <v>702.0000000000008</v>
      </c>
      <c r="CW44" s="79">
        <v>842.20000000000039</v>
      </c>
      <c r="CX44" s="79">
        <v>1446.5999999999997</v>
      </c>
      <c r="CY44" s="79">
        <v>2416.1999999999989</v>
      </c>
      <c r="CZ44" s="79">
        <v>4136.1999999999971</v>
      </c>
      <c r="DA44" s="79">
        <v>4526.9999999999955</v>
      </c>
      <c r="DB44" s="79">
        <v>3879.4999999999927</v>
      </c>
      <c r="DC44" s="79">
        <v>2569.0999999999949</v>
      </c>
      <c r="DD44" s="79">
        <v>1428.2000000000014</v>
      </c>
      <c r="DE44" s="79">
        <v>640.1999999999997</v>
      </c>
      <c r="DF44" s="87">
        <v>1.5</v>
      </c>
      <c r="DG44" s="87">
        <v>0</v>
      </c>
      <c r="DH44" s="87">
        <v>0</v>
      </c>
      <c r="DI44" s="87">
        <v>0.30000000000000426</v>
      </c>
      <c r="DJ44" s="87">
        <v>33.000000000000007</v>
      </c>
      <c r="DK44" s="87">
        <v>106</v>
      </c>
      <c r="DL44" s="87">
        <v>600.70000000000027</v>
      </c>
      <c r="DM44" s="87">
        <v>603.90000000000055</v>
      </c>
      <c r="DN44" s="87">
        <v>402.30000000000018</v>
      </c>
      <c r="DO44" s="87">
        <v>73.000000000000057</v>
      </c>
      <c r="DP44" s="87">
        <v>9.4999999999999964</v>
      </c>
      <c r="DQ44" s="87">
        <v>0</v>
      </c>
      <c r="DR44" s="94">
        <v>5999.1000000000058</v>
      </c>
      <c r="DS44" s="94">
        <v>5359.7999999999984</v>
      </c>
      <c r="DT44" s="94">
        <v>5478.9</v>
      </c>
      <c r="DU44" s="94">
        <v>4963.8999999999942</v>
      </c>
      <c r="DV44" s="94">
        <v>4129.1999999999907</v>
      </c>
      <c r="DW44" s="94">
        <v>2860.6999999999935</v>
      </c>
      <c r="DX44" s="94">
        <v>1677.2999999999984</v>
      </c>
      <c r="DY44" s="94">
        <v>1292.9000000000001</v>
      </c>
      <c r="DZ44" s="94">
        <v>1563.0000000000007</v>
      </c>
      <c r="EA44" s="94">
        <v>2761.7999999999993</v>
      </c>
      <c r="EB44" s="94">
        <v>3791.5999999999917</v>
      </c>
      <c r="EC44" s="94">
        <v>5374.199999999998</v>
      </c>
      <c r="ED44" s="224" t="s">
        <v>344</v>
      </c>
      <c r="EE44" s="542">
        <v>4.2</v>
      </c>
      <c r="EF44" s="542">
        <v>7.9</v>
      </c>
      <c r="EG44" s="542">
        <v>13.4</v>
      </c>
      <c r="EH44" s="542">
        <v>21.5</v>
      </c>
      <c r="EI44" s="543">
        <v>22.291870967741936</v>
      </c>
      <c r="EJ44" s="542">
        <v>26</v>
      </c>
      <c r="EK44" s="542">
        <v>26</v>
      </c>
      <c r="EL44" s="545">
        <v>2.6</v>
      </c>
      <c r="EM44" s="545">
        <v>4.9000000000000004</v>
      </c>
      <c r="EN44" s="545">
        <v>8.1999999999999993</v>
      </c>
      <c r="EO44" s="545">
        <v>13.2</v>
      </c>
      <c r="EP44" s="545">
        <v>15.7</v>
      </c>
      <c r="EQ44" s="545">
        <v>17.7</v>
      </c>
      <c r="ER44" s="545">
        <v>17.7</v>
      </c>
      <c r="ES44" s="533">
        <v>16.100000000000001</v>
      </c>
      <c r="ET44" s="533">
        <v>11.8</v>
      </c>
      <c r="EU44" s="537">
        <v>26.6</v>
      </c>
      <c r="EV44" s="537">
        <v>19.5</v>
      </c>
      <c r="EW44" s="540">
        <v>7.2</v>
      </c>
      <c r="EX44" s="540">
        <v>5.3</v>
      </c>
    </row>
    <row r="45" spans="1:154" hidden="1">
      <c r="A45" s="345" t="s">
        <v>342</v>
      </c>
      <c r="B45" s="96">
        <v>3.6895483870967745</v>
      </c>
      <c r="C45" s="97">
        <v>4.7230000000000008</v>
      </c>
      <c r="D45" s="97">
        <v>6.6584516129032236</v>
      </c>
      <c r="E45" s="97">
        <v>9.1302666666666692</v>
      </c>
      <c r="F45" s="97">
        <v>12.441935483870969</v>
      </c>
      <c r="G45" s="97">
        <v>17.391733333333335</v>
      </c>
      <c r="H45" s="97">
        <v>21.097677419354842</v>
      </c>
      <c r="I45" s="97">
        <v>20.469548387096772</v>
      </c>
      <c r="J45" s="97">
        <v>17.767866666666666</v>
      </c>
      <c r="K45" s="97">
        <v>12.010838709677421</v>
      </c>
      <c r="L45" s="97">
        <v>6.9252000000000011</v>
      </c>
      <c r="M45" s="100">
        <v>4.3971612903225799</v>
      </c>
      <c r="N45" s="106">
        <v>7.03</v>
      </c>
      <c r="O45" s="106">
        <v>4.32</v>
      </c>
      <c r="P45" s="106">
        <v>3.58</v>
      </c>
      <c r="Q45" s="106">
        <v>4.22</v>
      </c>
      <c r="R45" s="106">
        <v>7.88</v>
      </c>
      <c r="S45" s="106">
        <v>11.97</v>
      </c>
      <c r="T45" s="106">
        <v>15.82</v>
      </c>
      <c r="U45" s="106">
        <v>18.61</v>
      </c>
      <c r="V45" s="106">
        <v>19.420000000000002</v>
      </c>
      <c r="W45" s="106">
        <v>18.11</v>
      </c>
      <c r="X45" s="106">
        <v>14.96</v>
      </c>
      <c r="Y45" s="106">
        <v>10.98</v>
      </c>
      <c r="Z45" s="102">
        <v>1988.8064516129032</v>
      </c>
      <c r="AA45" s="4">
        <v>2810.3928571428573</v>
      </c>
      <c r="AB45" s="4">
        <v>3804</v>
      </c>
      <c r="AC45" s="4">
        <v>4909.5666666666666</v>
      </c>
      <c r="AD45" s="4">
        <v>5635.0967741935483</v>
      </c>
      <c r="AE45" s="4">
        <v>6272.1333333333332</v>
      </c>
      <c r="AF45" s="4">
        <v>6945.9032258064517</v>
      </c>
      <c r="AG45" s="4">
        <v>6269.6451612903229</v>
      </c>
      <c r="AH45" s="4">
        <v>4825.833333333333</v>
      </c>
      <c r="AI45" s="4">
        <v>3517.5483870967741</v>
      </c>
      <c r="AJ45" s="4">
        <v>2369.0666666666666</v>
      </c>
      <c r="AK45" s="23">
        <v>1629.2258064516129</v>
      </c>
      <c r="AL45" s="29">
        <v>3382.8222082716479</v>
      </c>
      <c r="AM45" s="6">
        <v>3578.9174778623028</v>
      </c>
      <c r="AN45" s="6">
        <v>3349.8517001453752</v>
      </c>
      <c r="AO45" s="6">
        <v>2920.5592341512088</v>
      </c>
      <c r="AP45" s="6">
        <v>2569.9704031586625</v>
      </c>
      <c r="AQ45" s="6">
        <v>2518.1385820125884</v>
      </c>
      <c r="AR45" s="6">
        <v>2796.8166457075104</v>
      </c>
      <c r="AS45" s="6">
        <v>3236.9329668482801</v>
      </c>
      <c r="AT45" s="6">
        <v>3699.8718468032184</v>
      </c>
      <c r="AU45" s="6">
        <v>4155.1106521354532</v>
      </c>
      <c r="AV45" s="6">
        <v>3876.9041337001004</v>
      </c>
      <c r="AW45" s="30">
        <v>2895.5411682546955</v>
      </c>
      <c r="AX45" s="39">
        <v>2665.4748144578957</v>
      </c>
      <c r="AY45" s="8">
        <v>3034.3686590769094</v>
      </c>
      <c r="AZ45" s="8">
        <v>3238.9626266864348</v>
      </c>
      <c r="BA45" s="8">
        <v>3349.0878629682211</v>
      </c>
      <c r="BB45" s="8">
        <v>3260.4228083756389</v>
      </c>
      <c r="BC45" s="8">
        <v>3349.6148690466434</v>
      </c>
      <c r="BD45" s="8">
        <v>3806.5252720179851</v>
      </c>
      <c r="BE45" s="8">
        <v>4015.4814851608103</v>
      </c>
      <c r="BF45" s="8">
        <v>3849.3437668724841</v>
      </c>
      <c r="BG45" s="8">
        <v>3633.803604522454</v>
      </c>
      <c r="BH45" s="8">
        <v>3088.3434751115115</v>
      </c>
      <c r="BI45" s="40">
        <v>2257.906384454106</v>
      </c>
      <c r="BJ45" s="49">
        <v>1566.4857743063508</v>
      </c>
      <c r="BK45" s="10">
        <v>2096.0881106744137</v>
      </c>
      <c r="BL45" s="10">
        <v>2670.0897179186582</v>
      </c>
      <c r="BM45" s="10">
        <v>3263.3572067729338</v>
      </c>
      <c r="BN45" s="10">
        <v>3598.3824394126445</v>
      </c>
      <c r="BO45" s="10">
        <v>3942.3977690623601</v>
      </c>
      <c r="BP45" s="10">
        <v>4426.6333008756956</v>
      </c>
      <c r="BQ45" s="10">
        <v>4147.0727902641847</v>
      </c>
      <c r="BR45" s="10">
        <v>3358.2883810935523</v>
      </c>
      <c r="BS45" s="10">
        <v>2612.9460272548909</v>
      </c>
      <c r="BT45" s="10">
        <v>1863.6933398601698</v>
      </c>
      <c r="BU45" s="50">
        <v>1286.4850895006878</v>
      </c>
      <c r="BV45" s="57">
        <v>601.84386921532609</v>
      </c>
      <c r="BW45" s="12">
        <v>836.08833713950139</v>
      </c>
      <c r="BX45" s="12">
        <v>1140.476593109659</v>
      </c>
      <c r="BY45" s="12">
        <v>1473.3917208821713</v>
      </c>
      <c r="BZ45" s="12">
        <v>1714.77957424019</v>
      </c>
      <c r="CA45" s="12">
        <v>1836.7399824133645</v>
      </c>
      <c r="CB45" s="12">
        <v>1801.5150840979782</v>
      </c>
      <c r="CC45" s="12">
        <v>1598.7194988828935</v>
      </c>
      <c r="CD45" s="12">
        <v>1287.9843388834126</v>
      </c>
      <c r="CE45" s="12">
        <v>946.87459329511319</v>
      </c>
      <c r="CF45" s="12">
        <v>669.9872990537234</v>
      </c>
      <c r="CG45" s="63">
        <v>523.92939772216164</v>
      </c>
      <c r="CH45" s="71">
        <v>11332.199999999995</v>
      </c>
      <c r="CI45" s="71">
        <v>9538.199999999988</v>
      </c>
      <c r="CJ45" s="71">
        <v>9103.3999999999924</v>
      </c>
      <c r="CK45" s="71">
        <v>7018.0999999999967</v>
      </c>
      <c r="CL45" s="71">
        <v>4944.0000000000027</v>
      </c>
      <c r="CM45" s="71">
        <v>2276.5</v>
      </c>
      <c r="CN45" s="71">
        <v>1091.4000000000005</v>
      </c>
      <c r="CO45" s="71">
        <v>1121.5000000000007</v>
      </c>
      <c r="CP45" s="71">
        <v>2107.4000000000005</v>
      </c>
      <c r="CQ45" s="71">
        <v>5285.0000000000036</v>
      </c>
      <c r="CR45" s="71">
        <v>8629.3999999999924</v>
      </c>
      <c r="CS45" s="71">
        <v>10816.399999999987</v>
      </c>
      <c r="CT45" s="79">
        <v>0</v>
      </c>
      <c r="CU45" s="79">
        <v>0</v>
      </c>
      <c r="CV45" s="79">
        <v>0</v>
      </c>
      <c r="CW45" s="79">
        <v>0.79999999999999716</v>
      </c>
      <c r="CX45" s="79">
        <v>162.5</v>
      </c>
      <c r="CY45" s="79">
        <v>1222.0999999999995</v>
      </c>
      <c r="CZ45" s="79">
        <v>2780.4</v>
      </c>
      <c r="DA45" s="79">
        <v>2334.8999999999983</v>
      </c>
      <c r="DB45" s="79">
        <v>1324.1999999999985</v>
      </c>
      <c r="DC45" s="79">
        <v>165.8</v>
      </c>
      <c r="DD45" s="79">
        <v>0</v>
      </c>
      <c r="DE45" s="79">
        <v>0</v>
      </c>
      <c r="DF45" s="87">
        <v>0</v>
      </c>
      <c r="DG45" s="87">
        <v>0</v>
      </c>
      <c r="DH45" s="87">
        <v>0</v>
      </c>
      <c r="DI45" s="87">
        <v>0</v>
      </c>
      <c r="DJ45" s="87">
        <v>0</v>
      </c>
      <c r="DK45" s="87">
        <v>101.9</v>
      </c>
      <c r="DL45" s="87">
        <v>650.5</v>
      </c>
      <c r="DM45" s="87">
        <v>464.70000000000022</v>
      </c>
      <c r="DN45" s="87">
        <v>149.89999999999989</v>
      </c>
      <c r="DO45" s="87">
        <v>0</v>
      </c>
      <c r="DP45" s="87">
        <v>0</v>
      </c>
      <c r="DQ45" s="87">
        <v>0</v>
      </c>
      <c r="DR45" s="94">
        <v>16540.199999999993</v>
      </c>
      <c r="DS45" s="94">
        <v>14242.199999999988</v>
      </c>
      <c r="DT45" s="94">
        <v>14311.400000000014</v>
      </c>
      <c r="DU45" s="94">
        <v>12057.300000000003</v>
      </c>
      <c r="DV45" s="94">
        <v>9989.5000000000091</v>
      </c>
      <c r="DW45" s="94">
        <v>6196.3000000000029</v>
      </c>
      <c r="DX45" s="94">
        <v>4169.4999999999973</v>
      </c>
      <c r="DY45" s="94">
        <v>4459.2999999999993</v>
      </c>
      <c r="DZ45" s="94">
        <v>5973.099999999994</v>
      </c>
      <c r="EA45" s="94">
        <v>10327.199999999988</v>
      </c>
      <c r="EB45" s="94">
        <v>13669.400000000007</v>
      </c>
      <c r="EC45" s="94">
        <v>16024.399999999994</v>
      </c>
      <c r="ED45" s="224" t="s">
        <v>304</v>
      </c>
      <c r="EE45" s="542">
        <v>12.8</v>
      </c>
      <c r="EF45" s="542">
        <v>21</v>
      </c>
      <c r="EG45" s="542">
        <v>32.6</v>
      </c>
      <c r="EH45" s="542">
        <v>50.1</v>
      </c>
      <c r="EI45" s="542">
        <v>76.5</v>
      </c>
      <c r="EJ45" s="542">
        <v>100.2</v>
      </c>
      <c r="EK45" s="542">
        <v>100.2</v>
      </c>
      <c r="EL45" s="545">
        <v>8.8000000000000007</v>
      </c>
      <c r="EM45" s="545">
        <v>14.4</v>
      </c>
      <c r="EN45" s="545">
        <v>22.3</v>
      </c>
      <c r="EO45" s="545">
        <v>34.299999999999997</v>
      </c>
      <c r="EP45" s="545">
        <v>68.099999999999994</v>
      </c>
      <c r="EQ45" s="545">
        <v>79.7</v>
      </c>
      <c r="ER45" s="545">
        <v>79.7</v>
      </c>
      <c r="ES45" s="533">
        <v>18.399999999999999</v>
      </c>
      <c r="ET45" s="533">
        <v>13.5</v>
      </c>
      <c r="EU45" s="537">
        <v>28.9</v>
      </c>
      <c r="EV45" s="537">
        <v>21.2</v>
      </c>
      <c r="EW45" s="540">
        <v>7</v>
      </c>
      <c r="EX45" s="540">
        <v>5.0999999999999996</v>
      </c>
    </row>
    <row r="46" spans="1:154" hidden="1">
      <c r="A46" s="345" t="s">
        <v>301</v>
      </c>
      <c r="B46" s="96">
        <v>6.0380645161290323</v>
      </c>
      <c r="C46" s="97">
        <v>8.0667142857142835</v>
      </c>
      <c r="D46" s="97">
        <v>10.831612903225805</v>
      </c>
      <c r="E46" s="97">
        <v>12.6388</v>
      </c>
      <c r="F46" s="97">
        <v>16.685032258064521</v>
      </c>
      <c r="G46" s="97">
        <v>22.347599999999996</v>
      </c>
      <c r="H46" s="97">
        <v>26.335096774193538</v>
      </c>
      <c r="I46" s="97">
        <v>25.592129032258065</v>
      </c>
      <c r="J46" s="97">
        <v>22.511999999999997</v>
      </c>
      <c r="K46" s="97">
        <v>16.086838709677416</v>
      </c>
      <c r="L46" s="97">
        <v>10.625066666666665</v>
      </c>
      <c r="M46" s="100">
        <v>7.0899193548387096</v>
      </c>
      <c r="N46" s="106">
        <v>7.14</v>
      </c>
      <c r="O46" s="106">
        <v>6.32</v>
      </c>
      <c r="P46" s="106">
        <v>7.78</v>
      </c>
      <c r="Q46" s="106">
        <v>10.07</v>
      </c>
      <c r="R46" s="106">
        <v>16.05</v>
      </c>
      <c r="S46" s="106">
        <v>20.67</v>
      </c>
      <c r="T46" s="106">
        <v>23.78</v>
      </c>
      <c r="U46" s="106">
        <v>24.73</v>
      </c>
      <c r="V46" s="106">
        <v>23.11</v>
      </c>
      <c r="W46" s="106">
        <v>19.53</v>
      </c>
      <c r="X46" s="106">
        <v>14.74</v>
      </c>
      <c r="Y46" s="106">
        <v>10.29</v>
      </c>
      <c r="Z46" s="102">
        <v>2153.4516129032259</v>
      </c>
      <c r="AA46" s="4">
        <v>2900.25</v>
      </c>
      <c r="AB46" s="4">
        <v>4338.6129032258068</v>
      </c>
      <c r="AC46" s="4">
        <v>5047.5333333333338</v>
      </c>
      <c r="AD46" s="4">
        <v>6303.0322580645161</v>
      </c>
      <c r="AE46" s="4">
        <v>7229.4</v>
      </c>
      <c r="AF46" s="4">
        <v>7633.6129032258068</v>
      </c>
      <c r="AG46" s="4">
        <v>6824.7741935483873</v>
      </c>
      <c r="AH46" s="4">
        <v>5063.8</v>
      </c>
      <c r="AI46" s="4">
        <v>3527.0645161290322</v>
      </c>
      <c r="AJ46" s="4">
        <v>2224.0333333333333</v>
      </c>
      <c r="AK46" s="23">
        <v>1761.4516129032259</v>
      </c>
      <c r="AL46" s="29">
        <v>3705.5859896356824</v>
      </c>
      <c r="AM46" s="6">
        <v>3671.6438605181952</v>
      </c>
      <c r="AN46" s="6">
        <v>3893.2147393745327</v>
      </c>
      <c r="AO46" s="6">
        <v>2973.1209415302424</v>
      </c>
      <c r="AP46" s="6">
        <v>2762.9665377632318</v>
      </c>
      <c r="AQ46" s="6">
        <v>2702.2317714146261</v>
      </c>
      <c r="AR46" s="6">
        <v>2924.2236539746832</v>
      </c>
      <c r="AS46" s="6">
        <v>3445.6865850007925</v>
      </c>
      <c r="AT46" s="6">
        <v>3865.6025985163233</v>
      </c>
      <c r="AU46" s="6">
        <v>4102.497369333405</v>
      </c>
      <c r="AV46" s="6">
        <v>3459.6417594705836</v>
      </c>
      <c r="AW46" s="30">
        <v>3162.4725075749502</v>
      </c>
      <c r="AX46" s="39">
        <v>2914.057695695557</v>
      </c>
      <c r="AY46" s="8">
        <v>3116.5870407089556</v>
      </c>
      <c r="AZ46" s="8">
        <v>3766.5491908607755</v>
      </c>
      <c r="BA46" s="8">
        <v>3429.5850401503608</v>
      </c>
      <c r="BB46" s="8">
        <v>3614.5722726394183</v>
      </c>
      <c r="BC46" s="8">
        <v>3783.8437347790277</v>
      </c>
      <c r="BD46" s="8">
        <v>4128.6112427501075</v>
      </c>
      <c r="BE46" s="8">
        <v>4358.7453293097706</v>
      </c>
      <c r="BF46" s="8">
        <v>4038.5335103078128</v>
      </c>
      <c r="BG46" s="8">
        <v>3598.016171547361</v>
      </c>
      <c r="BH46" s="8">
        <v>2776.6804971332335</v>
      </c>
      <c r="BI46" s="40">
        <v>2461.5369993542058</v>
      </c>
      <c r="BJ46" s="49">
        <v>1701.8084186962117</v>
      </c>
      <c r="BK46" s="10">
        <v>2157.0169231194086</v>
      </c>
      <c r="BL46" s="10">
        <v>3074.1120400211325</v>
      </c>
      <c r="BM46" s="10">
        <v>3350.8175642883953</v>
      </c>
      <c r="BN46" s="10">
        <v>4036.7654337202353</v>
      </c>
      <c r="BO46" s="10">
        <v>4557.4405976339758</v>
      </c>
      <c r="BP46" s="10">
        <v>4873.0187058956926</v>
      </c>
      <c r="BQ46" s="10">
        <v>4526.0696221575599</v>
      </c>
      <c r="BR46" s="10">
        <v>3524.7202749252338</v>
      </c>
      <c r="BS46" s="10">
        <v>2603.2874618810856</v>
      </c>
      <c r="BT46" s="10">
        <v>1715.6482581736182</v>
      </c>
      <c r="BU46" s="50">
        <v>1394.7499316014912</v>
      </c>
      <c r="BV46" s="57">
        <v>623.91095435225611</v>
      </c>
      <c r="BW46" s="12">
        <v>851.16405235887623</v>
      </c>
      <c r="BX46" s="12">
        <v>1176.166996924391</v>
      </c>
      <c r="BY46" s="12">
        <v>1485.998403769195</v>
      </c>
      <c r="BZ46" s="12">
        <v>1746.7608033268446</v>
      </c>
      <c r="CA46" s="12">
        <v>1853.8156509971586</v>
      </c>
      <c r="CB46" s="12">
        <v>1783.9928232392531</v>
      </c>
      <c r="CC46" s="12">
        <v>1589.033088960947</v>
      </c>
      <c r="CD46" s="12">
        <v>1298.4315395430392</v>
      </c>
      <c r="CE46" s="12">
        <v>956.5011104125881</v>
      </c>
      <c r="CF46" s="12">
        <v>668.11588979368787</v>
      </c>
      <c r="CG46" s="63">
        <v>546.16295528320904</v>
      </c>
      <c r="CH46" s="71">
        <v>9594.0999999999931</v>
      </c>
      <c r="CI46" s="71">
        <v>7298.699999999998</v>
      </c>
      <c r="CJ46" s="71">
        <v>6047.9000000000005</v>
      </c>
      <c r="CK46" s="71">
        <v>4648.0999999999931</v>
      </c>
      <c r="CL46" s="71">
        <v>2520.5999999999976</v>
      </c>
      <c r="CM46" s="71">
        <v>518.60000000000014</v>
      </c>
      <c r="CN46" s="71">
        <v>30.100000000000023</v>
      </c>
      <c r="CO46" s="71">
        <v>67.900000000000006</v>
      </c>
      <c r="CP46" s="71">
        <v>430.90000000000015</v>
      </c>
      <c r="CQ46" s="71">
        <v>2762.4999999999995</v>
      </c>
      <c r="CR46" s="71">
        <v>6004.3</v>
      </c>
      <c r="CS46" s="71">
        <v>8816.7999999999993</v>
      </c>
      <c r="CT46" s="79">
        <v>0</v>
      </c>
      <c r="CU46" s="79">
        <v>0</v>
      </c>
      <c r="CV46" s="79">
        <v>48.599999999999994</v>
      </c>
      <c r="CW46" s="79">
        <v>146.00000000000011</v>
      </c>
      <c r="CX46" s="79">
        <v>887.80000000000018</v>
      </c>
      <c r="CY46" s="79">
        <v>3031.5</v>
      </c>
      <c r="CZ46" s="79">
        <v>5600.6999999999962</v>
      </c>
      <c r="DA46" s="79">
        <v>5082.4999999999973</v>
      </c>
      <c r="DB46" s="79">
        <v>3054.7000000000016</v>
      </c>
      <c r="DC46" s="79">
        <v>678.90000000000055</v>
      </c>
      <c r="DD46" s="79">
        <v>26.699999999999996</v>
      </c>
      <c r="DE46" s="79">
        <v>0</v>
      </c>
      <c r="DF46" s="87">
        <v>0</v>
      </c>
      <c r="DG46" s="87">
        <v>0</v>
      </c>
      <c r="DH46" s="87">
        <v>0</v>
      </c>
      <c r="DI46" s="87">
        <v>0</v>
      </c>
      <c r="DJ46" s="87">
        <v>9.4000000000000092</v>
      </c>
      <c r="DK46" s="87">
        <v>713.7</v>
      </c>
      <c r="DL46" s="87">
        <v>1945.6000000000001</v>
      </c>
      <c r="DM46" s="87">
        <v>1607.8999999999999</v>
      </c>
      <c r="DN46" s="87">
        <v>689.29999999999961</v>
      </c>
      <c r="DO46" s="87">
        <v>47.900000000000013</v>
      </c>
      <c r="DP46" s="87">
        <v>0</v>
      </c>
      <c r="DQ46" s="87">
        <v>0</v>
      </c>
      <c r="DR46" s="94">
        <v>14802.100000000004</v>
      </c>
      <c r="DS46" s="94">
        <v>12002.700000000008</v>
      </c>
      <c r="DT46" s="94">
        <v>11207.299999999997</v>
      </c>
      <c r="DU46" s="94">
        <v>9542.1</v>
      </c>
      <c r="DV46" s="94">
        <v>6850.1999999999935</v>
      </c>
      <c r="DW46" s="94">
        <v>3240.7999999999975</v>
      </c>
      <c r="DX46" s="94">
        <v>1583.0000000000002</v>
      </c>
      <c r="DY46" s="94">
        <v>1801.299999999999</v>
      </c>
      <c r="DZ46" s="94">
        <v>3105.5000000000023</v>
      </c>
      <c r="EA46" s="94">
        <v>7339.5</v>
      </c>
      <c r="EB46" s="94">
        <v>11017.599999999989</v>
      </c>
      <c r="EC46" s="94">
        <v>14024.800000000016</v>
      </c>
      <c r="ED46" s="224" t="s">
        <v>302</v>
      </c>
      <c r="EE46" s="542">
        <v>9.1999999999999993</v>
      </c>
      <c r="EF46" s="542">
        <v>16.2</v>
      </c>
      <c r="EG46" s="542">
        <v>26.2</v>
      </c>
      <c r="EH46" s="542">
        <v>41.2</v>
      </c>
      <c r="EI46" s="542">
        <v>72.3</v>
      </c>
      <c r="EJ46" s="542">
        <v>88.9</v>
      </c>
      <c r="EK46" s="542">
        <v>88.9</v>
      </c>
      <c r="EL46" s="545">
        <v>6.2</v>
      </c>
      <c r="EM46" s="545">
        <v>11</v>
      </c>
      <c r="EN46" s="545">
        <v>17.8</v>
      </c>
      <c r="EO46" s="545">
        <v>28</v>
      </c>
      <c r="EP46" s="545">
        <v>54.3</v>
      </c>
      <c r="EQ46" s="545">
        <v>61.4</v>
      </c>
      <c r="ER46" s="545">
        <v>61.4</v>
      </c>
      <c r="ES46" s="533">
        <v>17.399999999999999</v>
      </c>
      <c r="ET46" s="533">
        <v>12.8</v>
      </c>
      <c r="EU46" s="537">
        <v>27.3</v>
      </c>
      <c r="EV46" s="537">
        <v>20.100000000000001</v>
      </c>
      <c r="EW46" s="540">
        <v>6.6</v>
      </c>
      <c r="EX46" s="540">
        <v>4.9000000000000004</v>
      </c>
    </row>
    <row r="47" spans="1:154" hidden="1">
      <c r="A47" s="345" t="s">
        <v>258</v>
      </c>
      <c r="B47" s="96">
        <v>10.221419354838709</v>
      </c>
      <c r="C47" s="97">
        <v>11.227285714285712</v>
      </c>
      <c r="D47" s="97">
        <v>12.731612903225807</v>
      </c>
      <c r="E47" s="97">
        <v>14.823466666666663</v>
      </c>
      <c r="F47" s="97">
        <v>17.919612903225811</v>
      </c>
      <c r="G47" s="97">
        <v>21.605466666666668</v>
      </c>
      <c r="H47" s="97">
        <v>25.422451612903224</v>
      </c>
      <c r="I47" s="97">
        <v>25.546709677419358</v>
      </c>
      <c r="J47" s="97">
        <v>23.095333333333325</v>
      </c>
      <c r="K47" s="97">
        <v>18.804387096774196</v>
      </c>
      <c r="L47" s="97">
        <v>14.172133333333333</v>
      </c>
      <c r="M47" s="100">
        <v>10.633618279569893</v>
      </c>
      <c r="N47" s="106">
        <v>11</v>
      </c>
      <c r="O47" s="106">
        <v>10.41</v>
      </c>
      <c r="P47" s="106">
        <v>11.58</v>
      </c>
      <c r="Q47" s="106">
        <v>14.28</v>
      </c>
      <c r="R47" s="106">
        <v>17.78</v>
      </c>
      <c r="S47" s="106">
        <v>21.15</v>
      </c>
      <c r="T47" s="106">
        <v>23.46</v>
      </c>
      <c r="U47" s="106">
        <v>24.1</v>
      </c>
      <c r="V47" s="106">
        <v>22.88</v>
      </c>
      <c r="W47" s="106">
        <v>20.14</v>
      </c>
      <c r="X47" s="106">
        <v>16.63</v>
      </c>
      <c r="Y47" s="106">
        <v>13.29</v>
      </c>
      <c r="Z47" s="102">
        <v>2280.0645161290322</v>
      </c>
      <c r="AA47" s="4">
        <v>2958.8571428571427</v>
      </c>
      <c r="AB47" s="4">
        <v>4136.6451612903229</v>
      </c>
      <c r="AC47" s="4">
        <v>5683.6333333333332</v>
      </c>
      <c r="AD47" s="4">
        <v>5764.0322580645161</v>
      </c>
      <c r="AE47" s="4">
        <v>6805.5</v>
      </c>
      <c r="AF47" s="4">
        <v>7147.4516129032254</v>
      </c>
      <c r="AG47" s="4">
        <v>6278.2580645161288</v>
      </c>
      <c r="AH47" s="4">
        <v>4746.2333333333336</v>
      </c>
      <c r="AI47" s="4">
        <v>3424.9032258064517</v>
      </c>
      <c r="AJ47" s="4">
        <v>2361.2333333333331</v>
      </c>
      <c r="AK47" s="23">
        <v>1977.7096774193549</v>
      </c>
      <c r="AL47" s="29">
        <v>3945.845587762979</v>
      </c>
      <c r="AM47" s="6">
        <v>3719.444522006339</v>
      </c>
      <c r="AN47" s="6">
        <v>3631.5402601042633</v>
      </c>
      <c r="AO47" s="6">
        <v>3312.8016285671993</v>
      </c>
      <c r="AP47" s="6">
        <v>2570.2208856974007</v>
      </c>
      <c r="AQ47" s="6">
        <v>2591.417069932364</v>
      </c>
      <c r="AR47" s="6">
        <v>2787.8701336448248</v>
      </c>
      <c r="AS47" s="6">
        <v>3177.6876094644904</v>
      </c>
      <c r="AT47" s="6">
        <v>3553.0477360543537</v>
      </c>
      <c r="AU47" s="6">
        <v>3891.7453614093029</v>
      </c>
      <c r="AV47" s="6">
        <v>3701.4348053052663</v>
      </c>
      <c r="AW47" s="30">
        <v>3668.2482700974465</v>
      </c>
      <c r="AX47" s="39">
        <v>3099.7242682464571</v>
      </c>
      <c r="AY47" s="8">
        <v>3161.3343897000109</v>
      </c>
      <c r="AZ47" s="8">
        <v>3524.4027569951063</v>
      </c>
      <c r="BA47" s="8">
        <v>3881.7015126217302</v>
      </c>
      <c r="BB47" s="8">
        <v>3301.970967087846</v>
      </c>
      <c r="BC47" s="8">
        <v>3570.5330035457982</v>
      </c>
      <c r="BD47" s="8">
        <v>3868.2853408767746</v>
      </c>
      <c r="BE47" s="8">
        <v>3973.4630613331683</v>
      </c>
      <c r="BF47" s="8">
        <v>3715.2639694751292</v>
      </c>
      <c r="BG47" s="8">
        <v>3426.7898159448669</v>
      </c>
      <c r="BH47" s="8">
        <v>2966.8187392908158</v>
      </c>
      <c r="BI47" s="40">
        <v>2841.2212693725692</v>
      </c>
      <c r="BJ47" s="49">
        <v>1804.1733743971201</v>
      </c>
      <c r="BK47" s="10">
        <v>2193.7432754612632</v>
      </c>
      <c r="BL47" s="10">
        <v>2903.5770973697836</v>
      </c>
      <c r="BM47" s="10">
        <v>3796.0356516254897</v>
      </c>
      <c r="BN47" s="10">
        <v>3668.4971816181642</v>
      </c>
      <c r="BO47" s="10">
        <v>4272.7414748785959</v>
      </c>
      <c r="BP47" s="10">
        <v>4539.5850881672031</v>
      </c>
      <c r="BQ47" s="10">
        <v>4128.4283078562503</v>
      </c>
      <c r="BR47" s="10">
        <v>3270.5459166219775</v>
      </c>
      <c r="BS47" s="10">
        <v>2504.5652745355569</v>
      </c>
      <c r="BT47" s="10">
        <v>1825.1673051145078</v>
      </c>
      <c r="BU47" s="50">
        <v>1583.537937648668</v>
      </c>
      <c r="BV47" s="57">
        <v>639.84988767091852</v>
      </c>
      <c r="BW47" s="12">
        <v>862.29547606249571</v>
      </c>
      <c r="BX47" s="12">
        <v>1174.1452551400535</v>
      </c>
      <c r="BY47" s="12">
        <v>1513.6819142226163</v>
      </c>
      <c r="BZ47" s="12">
        <v>1723.8797310422212</v>
      </c>
      <c r="CA47" s="12">
        <v>1851.204630176647</v>
      </c>
      <c r="CB47" s="12">
        <v>1799.1157029880831</v>
      </c>
      <c r="CC47" s="12">
        <v>1604.9693861578564</v>
      </c>
      <c r="CD47" s="12">
        <v>1298.267353655441</v>
      </c>
      <c r="CE47" s="12">
        <v>959.46791785061839</v>
      </c>
      <c r="CF47" s="12">
        <v>686.05038855263012</v>
      </c>
      <c r="CG47" s="63">
        <v>572.12693352244196</v>
      </c>
      <c r="CH47" s="71">
        <v>6470.4999999999973</v>
      </c>
      <c r="CI47" s="71">
        <v>5223.0000000000018</v>
      </c>
      <c r="CJ47" s="71">
        <v>4721.7000000000007</v>
      </c>
      <c r="CK47" s="71">
        <v>3184.9</v>
      </c>
      <c r="CL47" s="71">
        <v>1450.400000000001</v>
      </c>
      <c r="CM47" s="71">
        <v>360.3</v>
      </c>
      <c r="CN47" s="71">
        <v>58.200000000000017</v>
      </c>
      <c r="CO47" s="71">
        <v>19.099999999999998</v>
      </c>
      <c r="CP47" s="71">
        <v>85.899999999999991</v>
      </c>
      <c r="CQ47" s="71">
        <v>1216.6000000000004</v>
      </c>
      <c r="CR47" s="71">
        <v>3588.2000000000016</v>
      </c>
      <c r="CS47" s="71">
        <v>6199.7999999999975</v>
      </c>
      <c r="CT47" s="79">
        <v>0</v>
      </c>
      <c r="CU47" s="79">
        <v>50.000000000000007</v>
      </c>
      <c r="CV47" s="79">
        <v>118.20000000000002</v>
      </c>
      <c r="CW47" s="79">
        <v>246.8</v>
      </c>
      <c r="CX47" s="79">
        <v>712.89999999999975</v>
      </c>
      <c r="CY47" s="79">
        <v>2306.9000000000005</v>
      </c>
      <c r="CZ47" s="79">
        <v>4902.9000000000033</v>
      </c>
      <c r="DA47" s="79">
        <v>4952.5000000000027</v>
      </c>
      <c r="DB47" s="79">
        <v>3092.0000000000009</v>
      </c>
      <c r="DC47" s="79">
        <v>1135.0999999999999</v>
      </c>
      <c r="DD47" s="79">
        <v>159.2000000000001</v>
      </c>
      <c r="DE47" s="79">
        <v>15</v>
      </c>
      <c r="DF47" s="87">
        <v>0</v>
      </c>
      <c r="DG47" s="87">
        <v>0</v>
      </c>
      <c r="DH47" s="87">
        <v>0.60000000000000142</v>
      </c>
      <c r="DI47" s="87">
        <v>0</v>
      </c>
      <c r="DJ47" s="87">
        <v>17.899999999999995</v>
      </c>
      <c r="DK47" s="87">
        <v>239.99999999999994</v>
      </c>
      <c r="DL47" s="87">
        <v>1001.7</v>
      </c>
      <c r="DM47" s="87">
        <v>855.09999999999991</v>
      </c>
      <c r="DN47" s="87">
        <v>306.50000000000006</v>
      </c>
      <c r="DO47" s="87">
        <v>51.4</v>
      </c>
      <c r="DP47" s="87">
        <v>0</v>
      </c>
      <c r="DQ47" s="87">
        <v>0</v>
      </c>
      <c r="DR47" s="94">
        <v>11678.499999999996</v>
      </c>
      <c r="DS47" s="94">
        <v>9876.9999999999945</v>
      </c>
      <c r="DT47" s="94">
        <v>9812.1000000000022</v>
      </c>
      <c r="DU47" s="94">
        <v>7978.0999999999985</v>
      </c>
      <c r="DV47" s="94">
        <v>5963.4</v>
      </c>
      <c r="DW47" s="94">
        <v>3333.3999999999996</v>
      </c>
      <c r="DX47" s="94">
        <v>1365.0000000000002</v>
      </c>
      <c r="DY47" s="94">
        <v>1129.7</v>
      </c>
      <c r="DZ47" s="94">
        <v>2340.3999999999996</v>
      </c>
      <c r="EA47" s="94">
        <v>5340.8999999999969</v>
      </c>
      <c r="EB47" s="94">
        <v>8469</v>
      </c>
      <c r="EC47" s="94">
        <v>11392.800000000003</v>
      </c>
      <c r="ED47" s="224" t="s">
        <v>153</v>
      </c>
      <c r="EE47" s="542">
        <v>5.4</v>
      </c>
      <c r="EF47" s="542">
        <v>10.3</v>
      </c>
      <c r="EG47" s="542">
        <v>17.3</v>
      </c>
      <c r="EH47" s="542">
        <v>27.9</v>
      </c>
      <c r="EI47" s="542">
        <v>52.2</v>
      </c>
      <c r="EJ47" s="542">
        <v>61.1</v>
      </c>
      <c r="EK47" s="542">
        <v>61.1</v>
      </c>
      <c r="EL47" s="545">
        <v>3.4</v>
      </c>
      <c r="EM47" s="545">
        <v>6.5</v>
      </c>
      <c r="EN47" s="545">
        <v>11</v>
      </c>
      <c r="EO47" s="545">
        <v>17.7</v>
      </c>
      <c r="EP47" s="545">
        <v>39.9</v>
      </c>
      <c r="EQ47" s="545">
        <v>45.1</v>
      </c>
      <c r="ER47" s="545">
        <v>45.1</v>
      </c>
      <c r="ES47" s="533">
        <v>17.100000000000001</v>
      </c>
      <c r="ET47" s="533">
        <v>12.5</v>
      </c>
      <c r="EU47" s="537">
        <v>26.8</v>
      </c>
      <c r="EV47" s="537">
        <v>19.600000000000001</v>
      </c>
      <c r="EW47" s="540">
        <v>6.5</v>
      </c>
      <c r="EX47" s="540">
        <v>4.8</v>
      </c>
    </row>
    <row r="48" spans="1:154" hidden="1">
      <c r="A48" s="345" t="s">
        <v>303</v>
      </c>
      <c r="B48" s="96">
        <v>4.0554838709677421</v>
      </c>
      <c r="C48" s="97">
        <v>6.0357142857142856</v>
      </c>
      <c r="D48" s="97">
        <v>7.9836129032258096</v>
      </c>
      <c r="E48" s="97">
        <v>9.7578666666666667</v>
      </c>
      <c r="F48" s="97">
        <v>13.13032258064516</v>
      </c>
      <c r="G48" s="97">
        <v>17.861333333333331</v>
      </c>
      <c r="H48" s="97">
        <v>21.364516129032264</v>
      </c>
      <c r="I48" s="97">
        <v>21.142709677419351</v>
      </c>
      <c r="J48" s="97">
        <v>18.490400000000001</v>
      </c>
      <c r="K48" s="97">
        <v>12.754838709677419</v>
      </c>
      <c r="L48" s="97">
        <v>7.5935999999999986</v>
      </c>
      <c r="M48" s="100">
        <v>4.7863279569892487</v>
      </c>
      <c r="N48" s="106">
        <v>5.03</v>
      </c>
      <c r="O48" s="106">
        <v>4.32</v>
      </c>
      <c r="P48" s="106">
        <v>5.57</v>
      </c>
      <c r="Q48" s="106">
        <v>7.53</v>
      </c>
      <c r="R48" s="106">
        <v>12.65</v>
      </c>
      <c r="S48" s="106">
        <v>16.59</v>
      </c>
      <c r="T48" s="106">
        <v>19.260000000000002</v>
      </c>
      <c r="U48" s="106">
        <v>20.07</v>
      </c>
      <c r="V48" s="106">
        <v>18.690000000000001</v>
      </c>
      <c r="W48" s="106">
        <v>15.62</v>
      </c>
      <c r="X48" s="106">
        <v>11.52</v>
      </c>
      <c r="Y48" s="106">
        <v>7.72</v>
      </c>
      <c r="Z48" s="102">
        <v>1490.483870967742</v>
      </c>
      <c r="AA48" s="4">
        <v>2479.6785714285716</v>
      </c>
      <c r="AB48" s="4">
        <v>3802.3225806451615</v>
      </c>
      <c r="AC48" s="4">
        <v>4888.5666666666666</v>
      </c>
      <c r="AD48" s="4">
        <v>6050.1290322580644</v>
      </c>
      <c r="AE48" s="4">
        <v>6867.8666666666668</v>
      </c>
      <c r="AF48" s="4">
        <v>7456.9677419354839</v>
      </c>
      <c r="AG48" s="4">
        <v>6714.6451612903229</v>
      </c>
      <c r="AH48" s="4">
        <v>4792.833333333333</v>
      </c>
      <c r="AI48" s="4">
        <v>3168.4516129032259</v>
      </c>
      <c r="AJ48" s="4">
        <v>1863.2333333333333</v>
      </c>
      <c r="AK48" s="23">
        <v>1277.6451612903227</v>
      </c>
      <c r="AL48" s="29">
        <v>2379.1636528013942</v>
      </c>
      <c r="AM48" s="6">
        <v>3166.6563663758143</v>
      </c>
      <c r="AN48" s="6">
        <v>3470.1938828191301</v>
      </c>
      <c r="AO48" s="6">
        <v>2987.4236449623832</v>
      </c>
      <c r="AP48" s="6">
        <v>2782.7474297704052</v>
      </c>
      <c r="AQ48" s="6">
        <v>2736.4917776225911</v>
      </c>
      <c r="AR48" s="6">
        <v>3018.7062923382068</v>
      </c>
      <c r="AS48" s="6">
        <v>3549.136033621985</v>
      </c>
      <c r="AT48" s="6">
        <v>3796.4041506433869</v>
      </c>
      <c r="AU48" s="6">
        <v>3780.2874325393332</v>
      </c>
      <c r="AV48" s="6">
        <v>2925.6244998738971</v>
      </c>
      <c r="AW48" s="30">
        <v>2181.718683302136</v>
      </c>
      <c r="AX48" s="39">
        <v>1894.0469058612998</v>
      </c>
      <c r="AY48" s="8">
        <v>2682.1785829071509</v>
      </c>
      <c r="AZ48" s="8">
        <v>3329.6929256731851</v>
      </c>
      <c r="BA48" s="8">
        <v>3396.0126357164309</v>
      </c>
      <c r="BB48" s="8">
        <v>3546.2477084989287</v>
      </c>
      <c r="BC48" s="8">
        <v>3688.2666672106579</v>
      </c>
      <c r="BD48" s="8">
        <v>4133.4702977234256</v>
      </c>
      <c r="BE48" s="8">
        <v>4401.164184631376</v>
      </c>
      <c r="BF48" s="8">
        <v>3916.8368313181068</v>
      </c>
      <c r="BG48" s="8">
        <v>3296.397804882336</v>
      </c>
      <c r="BH48" s="8">
        <v>2346.1793519024545</v>
      </c>
      <c r="BI48" s="40">
        <v>1713.0106363856175</v>
      </c>
      <c r="BJ48" s="49">
        <v>1150.0362154349757</v>
      </c>
      <c r="BK48" s="10">
        <v>1854.7024915122945</v>
      </c>
      <c r="BL48" s="10">
        <v>2707.9327448041081</v>
      </c>
      <c r="BM48" s="10">
        <v>3280.2264142157487</v>
      </c>
      <c r="BN48" s="10">
        <v>3906.062104359773</v>
      </c>
      <c r="BO48" s="10">
        <v>4361.1041993938024</v>
      </c>
      <c r="BP48" s="10">
        <v>4805.7838103711956</v>
      </c>
      <c r="BQ48" s="10">
        <v>4509.1271915935022</v>
      </c>
      <c r="BR48" s="10">
        <v>3378.2882550259515</v>
      </c>
      <c r="BS48" s="10">
        <v>2365.7088482710114</v>
      </c>
      <c r="BT48" s="10">
        <v>1447.0265121154414</v>
      </c>
      <c r="BU48" s="50">
        <v>996.7626648023238</v>
      </c>
      <c r="BV48" s="57">
        <v>520.46689923075496</v>
      </c>
      <c r="BW48" s="12">
        <v>783.8567231539912</v>
      </c>
      <c r="BX48" s="12">
        <v>1120.848534404141</v>
      </c>
      <c r="BY48" s="12">
        <v>1460.7981426865485</v>
      </c>
      <c r="BZ48" s="12">
        <v>1735.0885987042166</v>
      </c>
      <c r="CA48" s="12">
        <v>1857.8566355653595</v>
      </c>
      <c r="CB48" s="12">
        <v>1791.6432311134402</v>
      </c>
      <c r="CC48" s="12">
        <v>1577.5114095310607</v>
      </c>
      <c r="CD48" s="12">
        <v>1266.966117817369</v>
      </c>
      <c r="CE48" s="12">
        <v>905.49470454010645</v>
      </c>
      <c r="CF48" s="12">
        <v>601.62887007193433</v>
      </c>
      <c r="CG48" s="63">
        <v>455.36207708732087</v>
      </c>
      <c r="CH48" s="71">
        <v>11082.799999999983</v>
      </c>
      <c r="CI48" s="71">
        <v>8661.2000000000007</v>
      </c>
      <c r="CJ48" s="71">
        <v>8123.4999999999973</v>
      </c>
      <c r="CK48" s="71">
        <v>6614.7999999999956</v>
      </c>
      <c r="CL48" s="71">
        <v>4604.3999999999996</v>
      </c>
      <c r="CM48" s="71">
        <v>2133.6000000000008</v>
      </c>
      <c r="CN48" s="71">
        <v>1013.6999999999997</v>
      </c>
      <c r="CO48" s="71">
        <v>1006.0000000000001</v>
      </c>
      <c r="CP48" s="71">
        <v>1790.7999999999997</v>
      </c>
      <c r="CQ48" s="71">
        <v>4765.5000000000009</v>
      </c>
      <c r="CR48" s="71">
        <v>8161.6999999999907</v>
      </c>
      <c r="CS48" s="71">
        <v>10539.700000000013</v>
      </c>
      <c r="CT48" s="79">
        <v>0</v>
      </c>
      <c r="CU48" s="79">
        <v>0</v>
      </c>
      <c r="CV48" s="79">
        <v>0.79999999999999716</v>
      </c>
      <c r="CW48" s="79">
        <v>37.499999999999993</v>
      </c>
      <c r="CX48" s="79">
        <v>328.8</v>
      </c>
      <c r="CY48" s="79">
        <v>1420.100000000001</v>
      </c>
      <c r="CZ48" s="79">
        <v>2898.6999999999985</v>
      </c>
      <c r="DA48" s="79">
        <v>2718.0000000000005</v>
      </c>
      <c r="DB48" s="79">
        <v>1525.4999999999995</v>
      </c>
      <c r="DC48" s="79">
        <v>197.89999999999998</v>
      </c>
      <c r="DD48" s="79">
        <v>0</v>
      </c>
      <c r="DE48" s="79">
        <v>0</v>
      </c>
      <c r="DF48" s="87">
        <v>0</v>
      </c>
      <c r="DG48" s="87">
        <v>0</v>
      </c>
      <c r="DH48" s="87">
        <v>0</v>
      </c>
      <c r="DI48" s="87">
        <v>0</v>
      </c>
      <c r="DJ48" s="87">
        <v>4</v>
      </c>
      <c r="DK48" s="87">
        <v>124.30000000000004</v>
      </c>
      <c r="DL48" s="87">
        <v>729.4000000000002</v>
      </c>
      <c r="DM48" s="87">
        <v>597.50000000000034</v>
      </c>
      <c r="DN48" s="87">
        <v>156.19999999999996</v>
      </c>
      <c r="DO48" s="87">
        <v>0</v>
      </c>
      <c r="DP48" s="87">
        <v>0</v>
      </c>
      <c r="DQ48" s="87">
        <v>0</v>
      </c>
      <c r="DR48" s="94">
        <v>16290.800000000016</v>
      </c>
      <c r="DS48" s="94">
        <v>13365.199999999986</v>
      </c>
      <c r="DT48" s="94">
        <v>13330.700000000019</v>
      </c>
      <c r="DU48" s="94">
        <v>11617.300000000003</v>
      </c>
      <c r="DV48" s="94">
        <v>9487.6000000000113</v>
      </c>
      <c r="DW48" s="94">
        <v>5877.7999999999984</v>
      </c>
      <c r="DX48" s="94">
        <v>4052.400000000001</v>
      </c>
      <c r="DY48" s="94">
        <v>4093.4999999999986</v>
      </c>
      <c r="DZ48" s="94">
        <v>5461.4999999999927</v>
      </c>
      <c r="EA48" s="94">
        <v>9775.5999999999967</v>
      </c>
      <c r="EB48" s="94">
        <v>13201.69999999999</v>
      </c>
      <c r="EC48" s="94">
        <v>15747.699999999983</v>
      </c>
      <c r="ED48" s="224" t="s">
        <v>304</v>
      </c>
      <c r="EE48" s="542">
        <v>13</v>
      </c>
      <c r="EF48" s="542">
        <v>21.2</v>
      </c>
      <c r="EG48" s="542">
        <v>33</v>
      </c>
      <c r="EH48" s="542">
        <v>50.7</v>
      </c>
      <c r="EI48" s="542">
        <v>64</v>
      </c>
      <c r="EJ48" s="542">
        <v>83.8</v>
      </c>
      <c r="EK48" s="542">
        <v>83.8</v>
      </c>
      <c r="EL48" s="545">
        <v>8.8000000000000007</v>
      </c>
      <c r="EM48" s="545">
        <v>14.5</v>
      </c>
      <c r="EN48" s="545">
        <v>22.5</v>
      </c>
      <c r="EO48" s="545">
        <v>34.6</v>
      </c>
      <c r="EP48" s="545">
        <v>59.5</v>
      </c>
      <c r="EQ48" s="545">
        <v>69.599999999999994</v>
      </c>
      <c r="ER48" s="545">
        <v>69.599999999999994</v>
      </c>
      <c r="ES48" s="533">
        <v>18.2</v>
      </c>
      <c r="ET48" s="533">
        <v>13.3</v>
      </c>
      <c r="EU48" s="537">
        <v>28.6</v>
      </c>
      <c r="EV48" s="537">
        <v>20.9</v>
      </c>
      <c r="EW48" s="540">
        <v>6.9</v>
      </c>
      <c r="EX48" s="540">
        <v>5.0999999999999996</v>
      </c>
    </row>
    <row r="49" spans="1:154" hidden="1">
      <c r="A49" s="345" t="s">
        <v>305</v>
      </c>
      <c r="B49" s="96">
        <v>4.5590967741935495</v>
      </c>
      <c r="C49" s="97">
        <v>5.9051428571428568</v>
      </c>
      <c r="D49" s="97">
        <v>7.1223225806451635</v>
      </c>
      <c r="E49" s="97">
        <v>9.1071999999999989</v>
      </c>
      <c r="F49" s="97">
        <v>12.348129032258067</v>
      </c>
      <c r="G49" s="97">
        <v>15.467599999999999</v>
      </c>
      <c r="H49" s="97">
        <v>18.208387096774196</v>
      </c>
      <c r="I49" s="97">
        <v>18.423354838709677</v>
      </c>
      <c r="J49" s="97">
        <v>16.432933333333338</v>
      </c>
      <c r="K49" s="97">
        <v>12.668645161290325</v>
      </c>
      <c r="L49" s="97">
        <v>7.45</v>
      </c>
      <c r="M49" s="100">
        <v>4.9279032258064515</v>
      </c>
      <c r="N49" s="106">
        <v>5.41</v>
      </c>
      <c r="O49" s="106">
        <v>4.8499999999999996</v>
      </c>
      <c r="P49" s="106">
        <v>5.85</v>
      </c>
      <c r="Q49" s="106">
        <v>7.41</v>
      </c>
      <c r="R49" s="106">
        <v>11.5</v>
      </c>
      <c r="S49" s="106">
        <v>14.66</v>
      </c>
      <c r="T49" s="106">
        <v>16.79</v>
      </c>
      <c r="U49" s="106">
        <v>17.440000000000001</v>
      </c>
      <c r="V49" s="106">
        <v>16.34</v>
      </c>
      <c r="W49" s="106">
        <v>13.88</v>
      </c>
      <c r="X49" s="106">
        <v>10.61</v>
      </c>
      <c r="Y49" s="106">
        <v>7.57</v>
      </c>
      <c r="Z49" s="102">
        <v>1443.2903225806451</v>
      </c>
      <c r="AA49" s="4">
        <v>2211.9285714285716</v>
      </c>
      <c r="AB49" s="4">
        <v>3075.6129032258063</v>
      </c>
      <c r="AC49" s="4">
        <v>3969.9333333333334</v>
      </c>
      <c r="AD49" s="4">
        <v>5097.7096774193551</v>
      </c>
      <c r="AE49" s="4">
        <v>5823.2333333333336</v>
      </c>
      <c r="AF49" s="4">
        <v>5944.4838709677415</v>
      </c>
      <c r="AG49" s="4">
        <v>5341.677419354839</v>
      </c>
      <c r="AH49" s="4">
        <v>4027.2666666666669</v>
      </c>
      <c r="AI49" s="4">
        <v>2796.0645161290322</v>
      </c>
      <c r="AJ49" s="4">
        <v>1654.8666666666666</v>
      </c>
      <c r="AK49" s="23">
        <v>1180.9677419354839</v>
      </c>
      <c r="AL49" s="29">
        <v>2432.6017409520377</v>
      </c>
      <c r="AM49" s="6">
        <v>2834.606925234325</v>
      </c>
      <c r="AN49" s="6">
        <v>2746.656147322065</v>
      </c>
      <c r="AO49" s="6">
        <v>2471.8284039034047</v>
      </c>
      <c r="AP49" s="6">
        <v>2488.5539191565713</v>
      </c>
      <c r="AQ49" s="6">
        <v>2522.3317532477827</v>
      </c>
      <c r="AR49" s="6">
        <v>2657.1268018419114</v>
      </c>
      <c r="AS49" s="6">
        <v>2956.098865562019</v>
      </c>
      <c r="AT49" s="6">
        <v>3187.572338750756</v>
      </c>
      <c r="AU49" s="6">
        <v>3332.8278546004231</v>
      </c>
      <c r="AV49" s="6">
        <v>2622.757249009062</v>
      </c>
      <c r="AW49" s="30">
        <v>2094.8487009924552</v>
      </c>
      <c r="AX49" s="39">
        <v>1922.0747654272238</v>
      </c>
      <c r="AY49" s="8">
        <v>2398.5456256552411</v>
      </c>
      <c r="AZ49" s="8">
        <v>2629.9501160895138</v>
      </c>
      <c r="BA49" s="8">
        <v>2741.9617464922953</v>
      </c>
      <c r="BB49" s="8">
        <v>3034.4931451819502</v>
      </c>
      <c r="BC49" s="8">
        <v>3210.8413135253491</v>
      </c>
      <c r="BD49" s="8">
        <v>3382.8063239906983</v>
      </c>
      <c r="BE49" s="8">
        <v>3509.9051519843688</v>
      </c>
      <c r="BF49" s="8">
        <v>3257.2548536555523</v>
      </c>
      <c r="BG49" s="8">
        <v>2903.2252712812428</v>
      </c>
      <c r="BH49" s="8">
        <v>2101.2059087770845</v>
      </c>
      <c r="BI49" s="40">
        <v>1637.2607120816465</v>
      </c>
      <c r="BJ49" s="49">
        <v>1138.108404596212</v>
      </c>
      <c r="BK49" s="10">
        <v>1659.2972795680678</v>
      </c>
      <c r="BL49" s="10">
        <v>2165.9619397333572</v>
      </c>
      <c r="BM49" s="10">
        <v>2642.2754130649282</v>
      </c>
      <c r="BN49" s="10">
        <v>3282.229642233407</v>
      </c>
      <c r="BO49" s="10">
        <v>3694.2552995997762</v>
      </c>
      <c r="BP49" s="10">
        <v>3813.1308156431242</v>
      </c>
      <c r="BQ49" s="10">
        <v>3556.6881930817017</v>
      </c>
      <c r="BR49" s="10">
        <v>2821.0978276296555</v>
      </c>
      <c r="BS49" s="10">
        <v>2089.2975057955291</v>
      </c>
      <c r="BT49" s="10">
        <v>1292.3042786142037</v>
      </c>
      <c r="BU49" s="50">
        <v>935.79101921104564</v>
      </c>
      <c r="BV49" s="57">
        <v>497.12890320297856</v>
      </c>
      <c r="BW49" s="12">
        <v>734.32855901980838</v>
      </c>
      <c r="BX49" s="12">
        <v>1034.4652377518028</v>
      </c>
      <c r="BY49" s="12">
        <v>1363.3666328547333</v>
      </c>
      <c r="BZ49" s="12">
        <v>1667.3811507722094</v>
      </c>
      <c r="CA49" s="12">
        <v>1816.0609377403225</v>
      </c>
      <c r="CB49" s="12">
        <v>1775.8546567223141</v>
      </c>
      <c r="CC49" s="12">
        <v>1558.7341777019496</v>
      </c>
      <c r="CD49" s="12">
        <v>1214.3618454415621</v>
      </c>
      <c r="CE49" s="12">
        <v>856.8206507842973</v>
      </c>
      <c r="CF49" s="12">
        <v>556.84997655801908</v>
      </c>
      <c r="CG49" s="63">
        <v>424.18133622953223</v>
      </c>
      <c r="CH49" s="71">
        <v>10707.899999999994</v>
      </c>
      <c r="CI49" s="71">
        <v>8764.1999999999989</v>
      </c>
      <c r="CJ49" s="71">
        <v>8783.5000000000127</v>
      </c>
      <c r="CK49" s="71">
        <v>7072.5999999999904</v>
      </c>
      <c r="CL49" s="71">
        <v>4940.7999999999975</v>
      </c>
      <c r="CM49" s="71">
        <v>2946.8999999999992</v>
      </c>
      <c r="CN49" s="71">
        <v>1703.8000000000006</v>
      </c>
      <c r="CO49" s="71">
        <v>1633.7000000000007</v>
      </c>
      <c r="CP49" s="71">
        <v>2427.400000000001</v>
      </c>
      <c r="CQ49" s="71">
        <v>4712.3</v>
      </c>
      <c r="CR49" s="71">
        <v>8272.9999999999909</v>
      </c>
      <c r="CS49" s="71">
        <v>10437.099999999971</v>
      </c>
      <c r="CT49" s="79">
        <v>0</v>
      </c>
      <c r="CU49" s="79">
        <v>0</v>
      </c>
      <c r="CV49" s="79">
        <v>0</v>
      </c>
      <c r="CW49" s="79">
        <v>8</v>
      </c>
      <c r="CX49" s="79">
        <v>70.100000000000023</v>
      </c>
      <c r="CY49" s="79">
        <v>488.69999999999987</v>
      </c>
      <c r="CZ49" s="79">
        <v>1206.4000000000003</v>
      </c>
      <c r="DA49" s="79">
        <v>1296.4999999999991</v>
      </c>
      <c r="DB49" s="79">
        <v>659.30000000000018</v>
      </c>
      <c r="DC49" s="79">
        <v>64.599999999999994</v>
      </c>
      <c r="DD49" s="79">
        <v>0</v>
      </c>
      <c r="DE49" s="79">
        <v>0</v>
      </c>
      <c r="DF49" s="87">
        <v>0</v>
      </c>
      <c r="DG49" s="87">
        <v>0</v>
      </c>
      <c r="DH49" s="87">
        <v>0</v>
      </c>
      <c r="DI49" s="87">
        <v>0</v>
      </c>
      <c r="DJ49" s="87">
        <v>0</v>
      </c>
      <c r="DK49" s="87">
        <v>0</v>
      </c>
      <c r="DL49" s="87">
        <v>57.7</v>
      </c>
      <c r="DM49" s="87">
        <v>51.900000000000006</v>
      </c>
      <c r="DN49" s="87">
        <v>1.100000000000005</v>
      </c>
      <c r="DO49" s="87">
        <v>0</v>
      </c>
      <c r="DP49" s="87">
        <v>0</v>
      </c>
      <c r="DQ49" s="87">
        <v>0</v>
      </c>
      <c r="DR49" s="94">
        <v>15915.899999999967</v>
      </c>
      <c r="DS49" s="94">
        <v>13468.200000000013</v>
      </c>
      <c r="DT49" s="94">
        <v>13991.50000000002</v>
      </c>
      <c r="DU49" s="94">
        <v>12104.6</v>
      </c>
      <c r="DV49" s="94">
        <v>10078.699999999999</v>
      </c>
      <c r="DW49" s="94">
        <v>7498.200000000008</v>
      </c>
      <c r="DX49" s="94">
        <v>5763.0999999999958</v>
      </c>
      <c r="DY49" s="94">
        <v>5597.0999999999967</v>
      </c>
      <c r="DZ49" s="94">
        <v>6809.1999999999925</v>
      </c>
      <c r="EA49" s="94">
        <v>9855.7000000000098</v>
      </c>
      <c r="EB49" s="94">
        <v>13313.000000000035</v>
      </c>
      <c r="EC49" s="94">
        <v>15645.099999999979</v>
      </c>
      <c r="ED49" s="224" t="s">
        <v>306</v>
      </c>
      <c r="EE49" s="542">
        <v>14.8</v>
      </c>
      <c r="EF49" s="542">
        <v>22.6</v>
      </c>
      <c r="EG49" s="542">
        <v>33.799999999999997</v>
      </c>
      <c r="EH49" s="542">
        <v>50.6</v>
      </c>
      <c r="EI49" s="542">
        <v>77.2</v>
      </c>
      <c r="EJ49" s="542">
        <v>95</v>
      </c>
      <c r="EK49" s="542">
        <v>95</v>
      </c>
      <c r="EL49" s="545">
        <v>10</v>
      </c>
      <c r="EM49" s="545">
        <v>15.4</v>
      </c>
      <c r="EN49" s="545">
        <v>23</v>
      </c>
      <c r="EO49" s="545">
        <v>34.299999999999997</v>
      </c>
      <c r="EP49" s="545">
        <v>62</v>
      </c>
      <c r="EQ49" s="545">
        <v>74.400000000000006</v>
      </c>
      <c r="ER49" s="545">
        <v>74.400000000000006</v>
      </c>
      <c r="ES49" s="533">
        <v>18.5</v>
      </c>
      <c r="ET49" s="533">
        <v>13.5</v>
      </c>
      <c r="EU49" s="537">
        <v>29</v>
      </c>
      <c r="EV49" s="537">
        <v>21.2</v>
      </c>
      <c r="EW49" s="540">
        <v>7</v>
      </c>
      <c r="EX49" s="540">
        <v>5.0999999999999996</v>
      </c>
    </row>
    <row r="50" spans="1:154" hidden="1">
      <c r="A50" s="345" t="s">
        <v>307</v>
      </c>
      <c r="B50" s="96">
        <v>4.2640000000000002</v>
      </c>
      <c r="C50" s="97">
        <v>6.2359999999999989</v>
      </c>
      <c r="D50" s="97">
        <v>8.1850322580645152</v>
      </c>
      <c r="E50" s="97">
        <v>10.354533333333334</v>
      </c>
      <c r="F50" s="97">
        <v>13.891225806451613</v>
      </c>
      <c r="G50" s="97">
        <v>18.322533333333336</v>
      </c>
      <c r="H50" s="97">
        <v>21.609806451612908</v>
      </c>
      <c r="I50" s="97">
        <v>21.162580645161292</v>
      </c>
      <c r="J50" s="97">
        <v>18.536000000000005</v>
      </c>
      <c r="K50" s="97">
        <v>13.326451612903227</v>
      </c>
      <c r="L50" s="97">
        <v>8.002933333333333</v>
      </c>
      <c r="M50" s="100">
        <v>4.8043655913978505</v>
      </c>
      <c r="N50" s="106">
        <v>5.32</v>
      </c>
      <c r="O50" s="106">
        <v>4.62</v>
      </c>
      <c r="P50" s="106">
        <v>5.87</v>
      </c>
      <c r="Q50" s="106">
        <v>7.82</v>
      </c>
      <c r="R50" s="106">
        <v>12.94</v>
      </c>
      <c r="S50" s="106">
        <v>16.89</v>
      </c>
      <c r="T50" s="106">
        <v>19.559999999999999</v>
      </c>
      <c r="U50" s="106">
        <v>20.37</v>
      </c>
      <c r="V50" s="106">
        <v>18.989999999999998</v>
      </c>
      <c r="W50" s="106">
        <v>15.92</v>
      </c>
      <c r="X50" s="106">
        <v>11.82</v>
      </c>
      <c r="Y50" s="106">
        <v>8.02</v>
      </c>
      <c r="Z50" s="102">
        <v>1684.7741935483871</v>
      </c>
      <c r="AA50" s="4">
        <v>2711.9642857142858</v>
      </c>
      <c r="AB50" s="4">
        <v>3913.1612903225805</v>
      </c>
      <c r="AC50" s="4">
        <v>5107.7666666666664</v>
      </c>
      <c r="AD50" s="4">
        <v>6136.0645161290322</v>
      </c>
      <c r="AE50" s="4">
        <v>6944.4333333333334</v>
      </c>
      <c r="AF50" s="4">
        <v>7458.7419354838712</v>
      </c>
      <c r="AG50" s="4">
        <v>6644.0967741935483</v>
      </c>
      <c r="AH50" s="4">
        <v>4887.3</v>
      </c>
      <c r="AI50" s="4">
        <v>3304.8709677419356</v>
      </c>
      <c r="AJ50" s="4">
        <v>2096.0333333333333</v>
      </c>
      <c r="AK50" s="23">
        <v>1459.2903225806451</v>
      </c>
      <c r="AL50" s="29">
        <v>2828.2944929247747</v>
      </c>
      <c r="AM50" s="6">
        <v>3567.4860610688183</v>
      </c>
      <c r="AN50" s="6">
        <v>3583.450497628146</v>
      </c>
      <c r="AO50" s="6">
        <v>3113.9439764360704</v>
      </c>
      <c r="AP50" s="6">
        <v>2804.4992982118574</v>
      </c>
      <c r="AQ50" s="6">
        <v>2745.944511412064</v>
      </c>
      <c r="AR50" s="6">
        <v>3008.4791861115104</v>
      </c>
      <c r="AS50" s="6">
        <v>3503.610793897838</v>
      </c>
      <c r="AT50" s="6">
        <v>3870.375677963596</v>
      </c>
      <c r="AU50" s="6">
        <v>3982.7199700593646</v>
      </c>
      <c r="AV50" s="6">
        <v>3446.4198721206326</v>
      </c>
      <c r="AW50" s="30">
        <v>2638.5039216777341</v>
      </c>
      <c r="AX50" s="39">
        <v>2234.352127991895</v>
      </c>
      <c r="AY50" s="8">
        <v>3007.7255284174967</v>
      </c>
      <c r="AZ50" s="8">
        <v>3439.1843272670176</v>
      </c>
      <c r="BA50" s="8">
        <v>3557.4546920356115</v>
      </c>
      <c r="BB50" s="8">
        <v>3589.7224760238432</v>
      </c>
      <c r="BC50" s="8">
        <v>3719.5913548218514</v>
      </c>
      <c r="BD50" s="8">
        <v>4126.9275413525711</v>
      </c>
      <c r="BE50" s="8">
        <v>4342.6944218449107</v>
      </c>
      <c r="BF50" s="8">
        <v>3998.0248213783607</v>
      </c>
      <c r="BG50" s="8">
        <v>3468.2914105352852</v>
      </c>
      <c r="BH50" s="8">
        <v>2744.669996775976</v>
      </c>
      <c r="BI50" s="40">
        <v>2054.368987303907</v>
      </c>
      <c r="BJ50" s="49">
        <v>1323.5563306707609</v>
      </c>
      <c r="BK50" s="10">
        <v>2050.8023859786558</v>
      </c>
      <c r="BL50" s="10">
        <v>2791.7248273521682</v>
      </c>
      <c r="BM50" s="10">
        <v>3435.9367432946801</v>
      </c>
      <c r="BN50" s="10">
        <v>3961.3375619979033</v>
      </c>
      <c r="BO50" s="10">
        <v>4408.4827123320811</v>
      </c>
      <c r="BP50" s="10">
        <v>4802.7854572554152</v>
      </c>
      <c r="BQ50" s="10">
        <v>4452.9665491389942</v>
      </c>
      <c r="BR50" s="10">
        <v>3447.0277431845143</v>
      </c>
      <c r="BS50" s="10">
        <v>2477.0415018940971</v>
      </c>
      <c r="BT50" s="10">
        <v>1655.6496548116957</v>
      </c>
      <c r="BU50" s="50">
        <v>1162.0412503402438</v>
      </c>
      <c r="BV50" s="57">
        <v>549.80165534466551</v>
      </c>
      <c r="BW50" s="12">
        <v>807.54573452468253</v>
      </c>
      <c r="BX50" s="12">
        <v>1130.0108120736222</v>
      </c>
      <c r="BY50" s="12">
        <v>1474.7432032080501</v>
      </c>
      <c r="BZ50" s="12">
        <v>1738.64361791699</v>
      </c>
      <c r="CA50" s="12">
        <v>1858.3006448109024</v>
      </c>
      <c r="CB50" s="12">
        <v>1791.6016283090407</v>
      </c>
      <c r="CC50" s="12">
        <v>1581.5097640097863</v>
      </c>
      <c r="CD50" s="12">
        <v>1270.5863527551676</v>
      </c>
      <c r="CE50" s="12">
        <v>915.29665581627705</v>
      </c>
      <c r="CF50" s="12">
        <v>627.75564808193531</v>
      </c>
      <c r="CG50" s="63">
        <v>484.77598685872238</v>
      </c>
      <c r="CH50" s="71">
        <v>10930.800000000007</v>
      </c>
      <c r="CI50" s="71">
        <v>8535.2000000000098</v>
      </c>
      <c r="CJ50" s="71">
        <v>7987.3000000000029</v>
      </c>
      <c r="CK50" s="71">
        <v>6166.2000000000053</v>
      </c>
      <c r="CL50" s="71">
        <v>4005.7999999999956</v>
      </c>
      <c r="CM50" s="71">
        <v>1794.4</v>
      </c>
      <c r="CN50" s="71">
        <v>756.30000000000075</v>
      </c>
      <c r="CO50" s="71">
        <v>850.00000000000034</v>
      </c>
      <c r="CP50" s="71">
        <v>1567.9000000000003</v>
      </c>
      <c r="CQ50" s="71">
        <v>4397.3000000000011</v>
      </c>
      <c r="CR50" s="71">
        <v>7873.6000000000067</v>
      </c>
      <c r="CS50" s="71">
        <v>10527.900000000021</v>
      </c>
      <c r="CT50" s="79">
        <v>0</v>
      </c>
      <c r="CU50" s="79">
        <v>0</v>
      </c>
      <c r="CV50" s="79">
        <v>0</v>
      </c>
      <c r="CW50" s="79">
        <v>8.1999999999999957</v>
      </c>
      <c r="CX50" s="79">
        <v>286.39999999999986</v>
      </c>
      <c r="CY50" s="79">
        <v>1401.7999999999993</v>
      </c>
      <c r="CZ50" s="79">
        <v>2804.4000000000019</v>
      </c>
      <c r="DA50" s="79">
        <v>2559.8000000000029</v>
      </c>
      <c r="DB50" s="79">
        <v>1316.2999999999993</v>
      </c>
      <c r="DC50" s="79">
        <v>243.79999999999995</v>
      </c>
      <c r="DD50" s="79">
        <v>0</v>
      </c>
      <c r="DE50" s="79">
        <v>0</v>
      </c>
      <c r="DF50" s="87">
        <v>0</v>
      </c>
      <c r="DG50" s="87">
        <v>0</v>
      </c>
      <c r="DH50" s="87">
        <v>0</v>
      </c>
      <c r="DI50" s="87">
        <v>0</v>
      </c>
      <c r="DJ50" s="87">
        <v>0</v>
      </c>
      <c r="DK50" s="87">
        <v>145.79999999999998</v>
      </c>
      <c r="DL50" s="87">
        <v>583.0999999999998</v>
      </c>
      <c r="DM50" s="87">
        <v>566.69999999999982</v>
      </c>
      <c r="DN50" s="87">
        <v>168.70000000000002</v>
      </c>
      <c r="DO50" s="87">
        <v>0</v>
      </c>
      <c r="DP50" s="87">
        <v>0</v>
      </c>
      <c r="DQ50" s="87">
        <v>0</v>
      </c>
      <c r="DR50" s="94">
        <v>16138.80000000001</v>
      </c>
      <c r="DS50" s="94">
        <v>13239.200000000015</v>
      </c>
      <c r="DT50" s="94">
        <v>13195.300000000017</v>
      </c>
      <c r="DU50" s="94">
        <v>11198.000000000016</v>
      </c>
      <c r="DV50" s="94">
        <v>8927.3999999999924</v>
      </c>
      <c r="DW50" s="94">
        <v>5578.4000000000015</v>
      </c>
      <c r="DX50" s="94">
        <v>3742.9999999999964</v>
      </c>
      <c r="DY50" s="94">
        <v>4064.8999999999996</v>
      </c>
      <c r="DZ50" s="94">
        <v>5460.2999999999956</v>
      </c>
      <c r="EA50" s="94">
        <v>9361.5</v>
      </c>
      <c r="EB50" s="94">
        <v>12913.600000000015</v>
      </c>
      <c r="EC50" s="94">
        <v>15735.900000000034</v>
      </c>
      <c r="ED50" s="224" t="s">
        <v>304</v>
      </c>
      <c r="EE50" s="542">
        <v>11.8</v>
      </c>
      <c r="EF50" s="542">
        <v>19.3</v>
      </c>
      <c r="EG50" s="542">
        <v>29.9</v>
      </c>
      <c r="EH50" s="542">
        <v>46</v>
      </c>
      <c r="EI50" s="542">
        <v>97.2</v>
      </c>
      <c r="EJ50" s="542">
        <v>127.3</v>
      </c>
      <c r="EK50" s="542">
        <v>127.3</v>
      </c>
      <c r="EL50" s="545">
        <v>8</v>
      </c>
      <c r="EM50" s="545">
        <v>13.1</v>
      </c>
      <c r="EN50" s="545">
        <v>20.399999999999999</v>
      </c>
      <c r="EO50" s="545">
        <v>31.4</v>
      </c>
      <c r="EP50" s="545">
        <v>68.8</v>
      </c>
      <c r="EQ50" s="545">
        <v>80.5</v>
      </c>
      <c r="ER50" s="545">
        <v>80.5</v>
      </c>
      <c r="ES50" s="533">
        <v>18.100000000000001</v>
      </c>
      <c r="ET50" s="533">
        <v>13.3</v>
      </c>
      <c r="EU50" s="537">
        <v>28.4</v>
      </c>
      <c r="EV50" s="537">
        <v>20.9</v>
      </c>
      <c r="EW50" s="540">
        <v>6.9</v>
      </c>
      <c r="EX50" s="540">
        <v>5.0999999999999996</v>
      </c>
    </row>
    <row r="51" spans="1:154" hidden="1">
      <c r="A51" s="345" t="s">
        <v>308</v>
      </c>
      <c r="B51" s="96">
        <v>6.1416774193548402</v>
      </c>
      <c r="C51" s="97">
        <v>7.93</v>
      </c>
      <c r="D51" s="97">
        <v>10.168516129032255</v>
      </c>
      <c r="E51" s="97">
        <v>12.700800000000005</v>
      </c>
      <c r="F51" s="97">
        <v>16.655870967741937</v>
      </c>
      <c r="G51" s="97">
        <v>20.89746666666667</v>
      </c>
      <c r="H51" s="97">
        <v>24.16090322580645</v>
      </c>
      <c r="I51" s="97">
        <v>23.670451612903225</v>
      </c>
      <c r="J51" s="97">
        <v>20.547066666666662</v>
      </c>
      <c r="K51" s="97">
        <v>15.300645161290326</v>
      </c>
      <c r="L51" s="97">
        <v>9.6616000000000017</v>
      </c>
      <c r="M51" s="100">
        <v>6.4540268817204298</v>
      </c>
      <c r="N51" s="106">
        <v>9.99</v>
      </c>
      <c r="O51" s="106">
        <v>7.19</v>
      </c>
      <c r="P51" s="106">
        <v>6.43</v>
      </c>
      <c r="Q51" s="106">
        <v>7.09</v>
      </c>
      <c r="R51" s="106">
        <v>10.87</v>
      </c>
      <c r="S51" s="106">
        <v>15.1</v>
      </c>
      <c r="T51" s="106">
        <v>19.079999999999998</v>
      </c>
      <c r="U51" s="106">
        <v>21.97</v>
      </c>
      <c r="V51" s="106">
        <v>22.81</v>
      </c>
      <c r="W51" s="106">
        <v>21.46</v>
      </c>
      <c r="X51" s="106">
        <v>18.190000000000001</v>
      </c>
      <c r="Y51" s="106">
        <v>14.08</v>
      </c>
      <c r="Z51" s="102">
        <v>1773.3870967741937</v>
      </c>
      <c r="AA51" s="4">
        <v>2712.3928571428573</v>
      </c>
      <c r="AB51" s="4">
        <v>3827.516129032258</v>
      </c>
      <c r="AC51" s="4">
        <v>4822.3999999999996</v>
      </c>
      <c r="AD51" s="4">
        <v>5971.9032258064517</v>
      </c>
      <c r="AE51" s="4">
        <v>6617.8</v>
      </c>
      <c r="AF51" s="4">
        <v>7024.9354838709678</v>
      </c>
      <c r="AG51" s="4">
        <v>6241.0967741935483</v>
      </c>
      <c r="AH51" s="4">
        <v>4581.166666666667</v>
      </c>
      <c r="AI51" s="4">
        <v>3229.9677419354839</v>
      </c>
      <c r="AJ51" s="4">
        <v>2066.5</v>
      </c>
      <c r="AK51" s="23">
        <v>1568.1935483870968</v>
      </c>
      <c r="AL51" s="29">
        <v>3077.854350770046</v>
      </c>
      <c r="AM51" s="6">
        <v>3591.6812476569448</v>
      </c>
      <c r="AN51" s="6">
        <v>3501.0615267424123</v>
      </c>
      <c r="AO51" s="6">
        <v>2947.6379455199462</v>
      </c>
      <c r="AP51" s="6">
        <v>2756.4116975418201</v>
      </c>
      <c r="AQ51" s="6">
        <v>2676.368013881598</v>
      </c>
      <c r="AR51" s="6">
        <v>2906.8061334964341</v>
      </c>
      <c r="AS51" s="6">
        <v>3324.2974847383634</v>
      </c>
      <c r="AT51" s="6">
        <v>3601.7759861468098</v>
      </c>
      <c r="AU51" s="6">
        <v>3883.2542984102656</v>
      </c>
      <c r="AV51" s="6">
        <v>3404.5337467338804</v>
      </c>
      <c r="AW51" s="30">
        <v>2967.1437442069728</v>
      </c>
      <c r="AX51" s="39">
        <v>2419.9549992907873</v>
      </c>
      <c r="AY51" s="8">
        <v>3024.8204751089338</v>
      </c>
      <c r="AZ51" s="8">
        <v>3358.4563101337653</v>
      </c>
      <c r="BA51" s="8">
        <v>3346.1997810205621</v>
      </c>
      <c r="BB51" s="8">
        <v>3502.0508041779694</v>
      </c>
      <c r="BC51" s="8">
        <v>3566.739937200241</v>
      </c>
      <c r="BD51" s="8">
        <v>3909.3755726858217</v>
      </c>
      <c r="BE51" s="8">
        <v>4073.3940031451061</v>
      </c>
      <c r="BF51" s="8">
        <v>3712.7284232828174</v>
      </c>
      <c r="BG51" s="8">
        <v>3382.2849705704034</v>
      </c>
      <c r="BH51" s="8">
        <v>2710.6898528560096</v>
      </c>
      <c r="BI51" s="40">
        <v>2296.0716388644137</v>
      </c>
      <c r="BJ51" s="49">
        <v>1410.9332926240836</v>
      </c>
      <c r="BK51" s="10">
        <v>2056.760756754019</v>
      </c>
      <c r="BL51" s="10">
        <v>2728.63018627253</v>
      </c>
      <c r="BM51" s="10">
        <v>3232.7170466250991</v>
      </c>
      <c r="BN51" s="10">
        <v>3853.2352678944662</v>
      </c>
      <c r="BO51" s="10">
        <v>4196.0933076161609</v>
      </c>
      <c r="BP51" s="10">
        <v>4513.8554532611297</v>
      </c>
      <c r="BQ51" s="10">
        <v>4167.8082950419184</v>
      </c>
      <c r="BR51" s="10">
        <v>3214.037013994297</v>
      </c>
      <c r="BS51" s="10">
        <v>2418.9975413929719</v>
      </c>
      <c r="BT51" s="10">
        <v>1634.0302023904364</v>
      </c>
      <c r="BU51" s="50">
        <v>1270.5337123810441</v>
      </c>
      <c r="BV51" s="57">
        <v>557.59868671229367</v>
      </c>
      <c r="BW51" s="12">
        <v>804.68863050930497</v>
      </c>
      <c r="BX51" s="12">
        <v>1122.20351075143</v>
      </c>
      <c r="BY51" s="12">
        <v>1456.1650772466126</v>
      </c>
      <c r="BZ51" s="12">
        <v>1731.6805180980396</v>
      </c>
      <c r="CA51" s="12">
        <v>1852.9506454245764</v>
      </c>
      <c r="CB51" s="12">
        <v>1801.4092478302091</v>
      </c>
      <c r="CC51" s="12">
        <v>1588.3537178130932</v>
      </c>
      <c r="CD51" s="12">
        <v>1261.0600370751083</v>
      </c>
      <c r="CE51" s="12">
        <v>908.53782547707988</v>
      </c>
      <c r="CF51" s="12">
        <v>622.29871383944339</v>
      </c>
      <c r="CG51" s="63">
        <v>495.79969920986161</v>
      </c>
      <c r="CH51" s="71">
        <v>9527.3999999999887</v>
      </c>
      <c r="CI51" s="71">
        <v>7391.0000000000055</v>
      </c>
      <c r="CJ51" s="71">
        <v>6514.8</v>
      </c>
      <c r="CK51" s="71">
        <v>4635.6999999999962</v>
      </c>
      <c r="CL51" s="71">
        <v>2567.7999999999979</v>
      </c>
      <c r="CM51" s="71">
        <v>892.40000000000077</v>
      </c>
      <c r="CN51" s="71">
        <v>105.6</v>
      </c>
      <c r="CO51" s="71">
        <v>115.70000000000005</v>
      </c>
      <c r="CP51" s="71">
        <v>764.6</v>
      </c>
      <c r="CQ51" s="71">
        <v>3026.0999999999995</v>
      </c>
      <c r="CR51" s="71">
        <v>6675.3999999999969</v>
      </c>
      <c r="CS51" s="71">
        <v>9296.6999999999862</v>
      </c>
      <c r="CT51" s="79">
        <v>0</v>
      </c>
      <c r="CU51" s="79">
        <v>0</v>
      </c>
      <c r="CV51" s="79">
        <v>10.199999999999996</v>
      </c>
      <c r="CW51" s="79">
        <v>172.70000000000002</v>
      </c>
      <c r="CX51" s="79">
        <v>920.60000000000014</v>
      </c>
      <c r="CY51" s="79">
        <v>2361.6999999999985</v>
      </c>
      <c r="CZ51" s="79">
        <v>4050.2999999999975</v>
      </c>
      <c r="DA51" s="79">
        <v>3691.8999999999955</v>
      </c>
      <c r="DB51" s="79">
        <v>1962.1000000000004</v>
      </c>
      <c r="DC51" s="79">
        <v>349.59999999999985</v>
      </c>
      <c r="DD51" s="79">
        <v>4</v>
      </c>
      <c r="DE51" s="79">
        <v>0</v>
      </c>
      <c r="DF51" s="87">
        <v>0</v>
      </c>
      <c r="DG51" s="87">
        <v>0</v>
      </c>
      <c r="DH51" s="87">
        <v>0</v>
      </c>
      <c r="DI51" s="87">
        <v>1.5</v>
      </c>
      <c r="DJ51" s="87">
        <v>57.100000000000009</v>
      </c>
      <c r="DK51" s="87">
        <v>354.7999999999999</v>
      </c>
      <c r="DL51" s="87">
        <v>1081</v>
      </c>
      <c r="DM51" s="87">
        <v>869.30000000000075</v>
      </c>
      <c r="DN51" s="87">
        <v>254.79999999999995</v>
      </c>
      <c r="DO51" s="87">
        <v>0</v>
      </c>
      <c r="DP51" s="87">
        <v>0</v>
      </c>
      <c r="DQ51" s="87">
        <v>0</v>
      </c>
      <c r="DR51" s="94">
        <v>14735.399999999992</v>
      </c>
      <c r="DS51" s="94">
        <v>12095.000000000004</v>
      </c>
      <c r="DT51" s="94">
        <v>11712.600000000006</v>
      </c>
      <c r="DU51" s="94">
        <v>9504.5000000000018</v>
      </c>
      <c r="DV51" s="94">
        <v>6912.2999999999993</v>
      </c>
      <c r="DW51" s="94">
        <v>3925.5</v>
      </c>
      <c r="DX51" s="94">
        <v>2344.2999999999984</v>
      </c>
      <c r="DY51" s="94">
        <v>2501.1000000000008</v>
      </c>
      <c r="DZ51" s="94">
        <v>4097.2999999999975</v>
      </c>
      <c r="EA51" s="94">
        <v>7884.4999999999964</v>
      </c>
      <c r="EB51" s="94">
        <v>11711.399999999996</v>
      </c>
      <c r="EC51" s="94">
        <v>14504.699999999979</v>
      </c>
      <c r="ED51" s="224" t="s">
        <v>151</v>
      </c>
      <c r="EE51" s="542">
        <v>9.6999999999999993</v>
      </c>
      <c r="EF51" s="542">
        <v>15.8</v>
      </c>
      <c r="EG51" s="542">
        <v>24.6</v>
      </c>
      <c r="EH51" s="542">
        <v>37.799999999999997</v>
      </c>
      <c r="EI51" s="542">
        <v>62.1</v>
      </c>
      <c r="EJ51" s="542">
        <v>74.5</v>
      </c>
      <c r="EK51" s="542">
        <v>74.5</v>
      </c>
      <c r="EL51" s="545">
        <v>6.5</v>
      </c>
      <c r="EM51" s="545">
        <v>10.7</v>
      </c>
      <c r="EN51" s="545">
        <v>16.600000000000001</v>
      </c>
      <c r="EO51" s="545">
        <v>25.6</v>
      </c>
      <c r="EP51" s="545">
        <v>56.7</v>
      </c>
      <c r="EQ51" s="545">
        <v>68</v>
      </c>
      <c r="ER51" s="545">
        <v>68</v>
      </c>
      <c r="ES51" s="533">
        <v>17.600000000000001</v>
      </c>
      <c r="ET51" s="533">
        <v>12.9</v>
      </c>
      <c r="EU51" s="537">
        <v>27.6</v>
      </c>
      <c r="EV51" s="537">
        <v>20.3</v>
      </c>
      <c r="EW51" s="540">
        <v>6.7</v>
      </c>
      <c r="EX51" s="540">
        <v>4.9000000000000004</v>
      </c>
    </row>
    <row r="52" spans="1:154" hidden="1">
      <c r="A52" s="345"/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00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2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23"/>
      <c r="AL52" s="29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30"/>
      <c r="AX52" s="39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40"/>
      <c r="BJ52" s="49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50"/>
      <c r="BV52" s="57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63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224"/>
      <c r="ES52" s="533"/>
      <c r="ET52" s="533"/>
      <c r="EU52" s="537"/>
      <c r="EV52" s="537"/>
      <c r="EW52" s="540"/>
      <c r="EX52" s="540"/>
    </row>
    <row r="53" spans="1:154" hidden="1">
      <c r="A53" s="66" t="s">
        <v>259</v>
      </c>
      <c r="B53" s="96">
        <v>6.7611612903225806</v>
      </c>
      <c r="C53" s="97">
        <v>6.1402857142857163</v>
      </c>
      <c r="D53" s="97">
        <v>9.0455483870967743</v>
      </c>
      <c r="E53" s="97">
        <v>11.939199999999998</v>
      </c>
      <c r="F53" s="97">
        <v>15.780258064516129</v>
      </c>
      <c r="G53" s="97">
        <v>18.575466666666667</v>
      </c>
      <c r="H53" s="97">
        <v>20.734193548387097</v>
      </c>
      <c r="I53" s="97">
        <v>20.676129032258064</v>
      </c>
      <c r="J53" s="97">
        <v>17.792399999999997</v>
      </c>
      <c r="K53" s="97">
        <v>13.673290322580648</v>
      </c>
      <c r="L53" s="97">
        <v>9.4022666666666641</v>
      </c>
      <c r="M53" s="100">
        <v>6.5126182795698933</v>
      </c>
      <c r="N53" s="105">
        <v>6.58</v>
      </c>
      <c r="O53" s="105">
        <v>7.82</v>
      </c>
      <c r="P53" s="105">
        <v>10.24</v>
      </c>
      <c r="Q53" s="105">
        <v>12.54</v>
      </c>
      <c r="R53" s="105">
        <v>16.88</v>
      </c>
      <c r="S53" s="105">
        <v>19.16</v>
      </c>
      <c r="T53" s="105">
        <v>19.79</v>
      </c>
      <c r="U53" s="105">
        <v>18.63</v>
      </c>
      <c r="V53" s="105">
        <v>15.96</v>
      </c>
      <c r="W53" s="105">
        <v>12.62</v>
      </c>
      <c r="X53" s="105">
        <v>9.34</v>
      </c>
      <c r="Y53" s="105">
        <v>7.17</v>
      </c>
      <c r="Z53" s="102">
        <v>1279.9677419354839</v>
      </c>
      <c r="AA53" s="4">
        <v>1970.6428571428571</v>
      </c>
      <c r="AB53" s="4">
        <v>3209.516129032258</v>
      </c>
      <c r="AC53" s="4">
        <v>4381.8666666666668</v>
      </c>
      <c r="AD53" s="4">
        <v>4961.677419354839</v>
      </c>
      <c r="AE53" s="4">
        <v>5648.5</v>
      </c>
      <c r="AF53" s="4">
        <v>5718.2580645161288</v>
      </c>
      <c r="AG53" s="4">
        <v>4924.5483870967746</v>
      </c>
      <c r="AH53" s="4">
        <v>4240.8999999999996</v>
      </c>
      <c r="AI53" s="4">
        <v>2509.4516129032259</v>
      </c>
      <c r="AJ53" s="4">
        <v>1562.4333333333334</v>
      </c>
      <c r="AK53" s="23">
        <v>1086.2258064516129</v>
      </c>
      <c r="AL53" s="29">
        <v>2300.4893600759951</v>
      </c>
      <c r="AM53" s="6">
        <v>2619.260430837443</v>
      </c>
      <c r="AN53" s="6">
        <v>3064.2197454736129</v>
      </c>
      <c r="AO53" s="6">
        <v>2845.1591023361857</v>
      </c>
      <c r="AP53" s="6">
        <v>2516.0379403467732</v>
      </c>
      <c r="AQ53" s="6">
        <v>2558.6347215491037</v>
      </c>
      <c r="AR53" s="6">
        <v>2679.5546235430738</v>
      </c>
      <c r="AS53" s="6">
        <v>2844.5710831681654</v>
      </c>
      <c r="AT53" s="6">
        <v>3567.3129774603758</v>
      </c>
      <c r="AU53" s="6">
        <v>3096.0164578761137</v>
      </c>
      <c r="AV53" s="6">
        <v>2696.3020382972672</v>
      </c>
      <c r="AW53" s="30">
        <v>2119.5979305697274</v>
      </c>
      <c r="AX53" s="39">
        <v>1803.073416474482</v>
      </c>
      <c r="AY53" s="8">
        <v>2202.2321374078529</v>
      </c>
      <c r="AZ53" s="8">
        <v>2899.5055936261942</v>
      </c>
      <c r="BA53" s="8">
        <v>3148.840925924972</v>
      </c>
      <c r="BB53" s="8">
        <v>3014.2672397371593</v>
      </c>
      <c r="BC53" s="8">
        <v>3181.3315830245842</v>
      </c>
      <c r="BD53" s="8">
        <v>3327.8349309889363</v>
      </c>
      <c r="BE53" s="8">
        <v>3302.1226937770002</v>
      </c>
      <c r="BF53" s="8">
        <v>3607.973519179518</v>
      </c>
      <c r="BG53" s="8">
        <v>2678.6952246876012</v>
      </c>
      <c r="BH53" s="8">
        <v>2134.95375693402</v>
      </c>
      <c r="BI53" s="40">
        <v>1637.7238195603118</v>
      </c>
      <c r="BJ53" s="49">
        <v>1037.216609726054</v>
      </c>
      <c r="BK53" s="10">
        <v>1502.954951864976</v>
      </c>
      <c r="BL53" s="10">
        <v>2326.7968326266514</v>
      </c>
      <c r="BM53" s="10">
        <v>2988.4197742539459</v>
      </c>
      <c r="BN53" s="10">
        <v>3225.6399259190462</v>
      </c>
      <c r="BO53" s="10">
        <v>3614.9426492626335</v>
      </c>
      <c r="BP53" s="10">
        <v>3702.0161005514237</v>
      </c>
      <c r="BQ53" s="10">
        <v>3306.3039371869745</v>
      </c>
      <c r="BR53" s="10">
        <v>3055.5127838381991</v>
      </c>
      <c r="BS53" s="10">
        <v>1905.0545441757001</v>
      </c>
      <c r="BT53" s="10">
        <v>1264.6056635568118</v>
      </c>
      <c r="BU53" s="50">
        <v>894.58260206804368</v>
      </c>
      <c r="BV53" s="57">
        <v>445.81672779144151</v>
      </c>
      <c r="BW53" s="12">
        <v>673.89240924239994</v>
      </c>
      <c r="BX53" s="12">
        <v>1024.0645512963879</v>
      </c>
      <c r="BY53" s="12">
        <v>1393.1186456254281</v>
      </c>
      <c r="BZ53" s="12">
        <v>1650.6321153780596</v>
      </c>
      <c r="CA53" s="12">
        <v>1806.6718136560826</v>
      </c>
      <c r="CB53" s="12">
        <v>1762.1354917207543</v>
      </c>
      <c r="CC53" s="12">
        <v>1519.2853571679714</v>
      </c>
      <c r="CD53" s="12">
        <v>1199.3997845384065</v>
      </c>
      <c r="CE53" s="12">
        <v>797.30109547804773</v>
      </c>
      <c r="CF53" s="12">
        <v>515.77688996554457</v>
      </c>
      <c r="CG53" s="63">
        <v>384.24682726578391</v>
      </c>
      <c r="CH53" s="71">
        <v>9070.7999999999993</v>
      </c>
      <c r="CI53" s="71">
        <v>8585.8000000000011</v>
      </c>
      <c r="CJ53" s="71">
        <v>7355.799999999992</v>
      </c>
      <c r="CK53" s="71">
        <v>5174.8000000000038</v>
      </c>
      <c r="CL53" s="71">
        <v>2768.2999999999997</v>
      </c>
      <c r="CM53" s="71">
        <v>1432.8000000000011</v>
      </c>
      <c r="CN53" s="71">
        <v>617.79999999999995</v>
      </c>
      <c r="CO53" s="71">
        <v>912.2000000000005</v>
      </c>
      <c r="CP53" s="71">
        <v>1745.2999999999995</v>
      </c>
      <c r="CQ53" s="71">
        <v>4005.2000000000003</v>
      </c>
      <c r="CR53" s="71">
        <v>6858.299999999992</v>
      </c>
      <c r="CS53" s="71">
        <v>9258.4999999999873</v>
      </c>
      <c r="CT53" s="79">
        <v>0</v>
      </c>
      <c r="CU53" s="79">
        <v>0</v>
      </c>
      <c r="CV53" s="79">
        <v>1.1000000000000014</v>
      </c>
      <c r="CW53" s="79">
        <v>161.70000000000002</v>
      </c>
      <c r="CX53" s="79">
        <v>448.09999999999997</v>
      </c>
      <c r="CY53" s="79">
        <v>1218.5999999999999</v>
      </c>
      <c r="CZ53" s="79">
        <v>1997.9999999999991</v>
      </c>
      <c r="DA53" s="79">
        <v>2251.8999999999996</v>
      </c>
      <c r="DB53" s="79">
        <v>959.3000000000003</v>
      </c>
      <c r="DC53" s="79">
        <v>120.80000000000001</v>
      </c>
      <c r="DD53" s="79">
        <v>0.60000000000000142</v>
      </c>
      <c r="DE53" s="79">
        <v>0</v>
      </c>
      <c r="DF53" s="87">
        <v>0</v>
      </c>
      <c r="DG53" s="87">
        <v>0</v>
      </c>
      <c r="DH53" s="87">
        <v>0</v>
      </c>
      <c r="DI53" s="87">
        <v>0</v>
      </c>
      <c r="DJ53" s="87">
        <v>10.7</v>
      </c>
      <c r="DK53" s="87">
        <v>133.49999999999997</v>
      </c>
      <c r="DL53" s="87">
        <v>283</v>
      </c>
      <c r="DM53" s="87">
        <v>395.30000000000007</v>
      </c>
      <c r="DN53" s="87">
        <v>73.200000000000017</v>
      </c>
      <c r="DO53" s="87">
        <v>0</v>
      </c>
      <c r="DP53" s="87">
        <v>0</v>
      </c>
      <c r="DQ53" s="87">
        <v>0</v>
      </c>
      <c r="DR53" s="94">
        <v>14278.799999999994</v>
      </c>
      <c r="DS53" s="94">
        <v>13289.800000000001</v>
      </c>
      <c r="DT53" s="94">
        <v>12562.699999999986</v>
      </c>
      <c r="DU53" s="94">
        <v>10053.1</v>
      </c>
      <c r="DV53" s="94">
        <v>7538.9000000000033</v>
      </c>
      <c r="DW53" s="94">
        <v>5387.699999999998</v>
      </c>
      <c r="DX53" s="94">
        <v>4110.8000000000011</v>
      </c>
      <c r="DY53" s="94">
        <v>4263.5999999999985</v>
      </c>
      <c r="DZ53" s="94">
        <v>5899.2000000000025</v>
      </c>
      <c r="EA53" s="94">
        <v>9092.4000000000015</v>
      </c>
      <c r="EB53" s="94">
        <v>11897.7</v>
      </c>
      <c r="EC53" s="94">
        <v>14466.499999999978</v>
      </c>
      <c r="ED53" s="225"/>
      <c r="ES53" s="534">
        <v>18.8</v>
      </c>
      <c r="ET53" s="532">
        <v>13.8</v>
      </c>
      <c r="EU53" s="535">
        <v>29.5</v>
      </c>
      <c r="EV53" s="535">
        <v>21.7</v>
      </c>
      <c r="EW53" s="538">
        <v>7.6</v>
      </c>
      <c r="EX53" s="538">
        <v>5.6</v>
      </c>
    </row>
    <row r="54" spans="1:154" hidden="1">
      <c r="A54" s="66" t="s">
        <v>260</v>
      </c>
      <c r="B54" s="96">
        <v>7.1926451612903231</v>
      </c>
      <c r="C54" s="97">
        <v>6.3912857142857149</v>
      </c>
      <c r="D54" s="97">
        <v>8.0273548387096767</v>
      </c>
      <c r="E54" s="97">
        <v>9.4526666666666674</v>
      </c>
      <c r="F54" s="97">
        <v>12.198838709677419</v>
      </c>
      <c r="G54" s="97">
        <v>14.184666666666665</v>
      </c>
      <c r="H54" s="97">
        <v>16.305548387096774</v>
      </c>
      <c r="I54" s="97">
        <v>16.036258064516129</v>
      </c>
      <c r="J54" s="97">
        <v>14.438799999999997</v>
      </c>
      <c r="K54" s="97">
        <v>11.952903225806452</v>
      </c>
      <c r="L54" s="97">
        <v>9.5250666666666692</v>
      </c>
      <c r="M54" s="100">
        <v>7.7479139784946236</v>
      </c>
      <c r="N54" s="105">
        <v>8.6300000000000008</v>
      </c>
      <c r="O54" s="105">
        <v>7.09</v>
      </c>
      <c r="P54" s="105">
        <v>6.67</v>
      </c>
      <c r="Q54" s="105">
        <v>7.03</v>
      </c>
      <c r="R54" s="105">
        <v>9.11</v>
      </c>
      <c r="S54" s="105">
        <v>11.44</v>
      </c>
      <c r="T54" s="105">
        <v>13.63</v>
      </c>
      <c r="U54" s="105">
        <v>15.22</v>
      </c>
      <c r="V54" s="105">
        <v>15.68</v>
      </c>
      <c r="W54" s="105">
        <v>14.93</v>
      </c>
      <c r="X54" s="105">
        <v>13.14</v>
      </c>
      <c r="Y54" s="105">
        <v>10.88</v>
      </c>
      <c r="Z54" s="102">
        <v>817.9677419354839</v>
      </c>
      <c r="AA54" s="4">
        <v>1618.8214285714287</v>
      </c>
      <c r="AB54" s="4">
        <v>2526.9354838709678</v>
      </c>
      <c r="AC54" s="4">
        <v>3961.2666666666669</v>
      </c>
      <c r="AD54" s="4">
        <v>4869.8387096774195</v>
      </c>
      <c r="AE54" s="4">
        <v>5278.8</v>
      </c>
      <c r="AF54" s="4">
        <v>5110.2903225806449</v>
      </c>
      <c r="AG54" s="4">
        <v>4326.4838709677415</v>
      </c>
      <c r="AH54" s="4">
        <v>3313.4333333333334</v>
      </c>
      <c r="AI54" s="4">
        <v>1976.7741935483871</v>
      </c>
      <c r="AJ54" s="4">
        <v>1114.3666666666666</v>
      </c>
      <c r="AK54" s="23">
        <v>694.35483870967744</v>
      </c>
      <c r="AL54" s="29">
        <v>1507.3009320215422</v>
      </c>
      <c r="AM54" s="6">
        <v>2342.1070320569829</v>
      </c>
      <c r="AN54" s="6">
        <v>2496.9579378890735</v>
      </c>
      <c r="AO54" s="6">
        <v>2738.6716880398162</v>
      </c>
      <c r="AP54" s="6">
        <v>2625.0592029800155</v>
      </c>
      <c r="AQ54" s="6">
        <v>2579.7253169586352</v>
      </c>
      <c r="AR54" s="6">
        <v>2602.1466894778309</v>
      </c>
      <c r="AS54" s="6">
        <v>2671.1476421788507</v>
      </c>
      <c r="AT54" s="6">
        <v>2895.0730927177383</v>
      </c>
      <c r="AU54" s="6">
        <v>2571.0051307721592</v>
      </c>
      <c r="AV54" s="6">
        <v>2053.1993728814432</v>
      </c>
      <c r="AW54" s="30">
        <v>1428.6002431720881</v>
      </c>
      <c r="AX54" s="39">
        <v>1179.6134826477733</v>
      </c>
      <c r="AY54" s="8">
        <v>1942.2749810381133</v>
      </c>
      <c r="AZ54" s="8">
        <v>2335.3465905907851</v>
      </c>
      <c r="BA54" s="8">
        <v>2963.1306868742963</v>
      </c>
      <c r="BB54" s="8">
        <v>3071.0609340867463</v>
      </c>
      <c r="BC54" s="8">
        <v>3082.9958250401364</v>
      </c>
      <c r="BD54" s="8">
        <v>3088.1649668894133</v>
      </c>
      <c r="BE54" s="8">
        <v>3004.4314452321282</v>
      </c>
      <c r="BF54" s="8">
        <v>2875.8406128767224</v>
      </c>
      <c r="BG54" s="8">
        <v>2201.9305286339159</v>
      </c>
      <c r="BH54" s="8">
        <v>1613.1733262582457</v>
      </c>
      <c r="BI54" s="40">
        <v>1099.7139393700656</v>
      </c>
      <c r="BJ54" s="49">
        <v>671.37604461585204</v>
      </c>
      <c r="BK54" s="10">
        <v>1283.1035709330738</v>
      </c>
      <c r="BL54" s="10">
        <v>1859.3155409154676</v>
      </c>
      <c r="BM54" s="10">
        <v>2762.5831967508216</v>
      </c>
      <c r="BN54" s="10">
        <v>3235.7193586917929</v>
      </c>
      <c r="BO54" s="10">
        <v>3433.4846784245847</v>
      </c>
      <c r="BP54" s="10">
        <v>3357.1619978184081</v>
      </c>
      <c r="BQ54" s="10">
        <v>2954.6429043302614</v>
      </c>
      <c r="BR54" s="10">
        <v>2416.5517663635587</v>
      </c>
      <c r="BS54" s="10">
        <v>1539.8500262989492</v>
      </c>
      <c r="BT54" s="10">
        <v>930.04907676021412</v>
      </c>
      <c r="BU54" s="50">
        <v>584.97424715085276</v>
      </c>
      <c r="BV54" s="57">
        <v>319.7242967472672</v>
      </c>
      <c r="BW54" s="12">
        <v>572.97361310295435</v>
      </c>
      <c r="BX54" s="12">
        <v>892.34226385554348</v>
      </c>
      <c r="BY54" s="12">
        <v>1318.9076125570766</v>
      </c>
      <c r="BZ54" s="12">
        <v>1633.9626679034616</v>
      </c>
      <c r="CA54" s="12">
        <v>1779.0639438674925</v>
      </c>
      <c r="CB54" s="12">
        <v>1710.1628404564003</v>
      </c>
      <c r="CC54" s="12">
        <v>1441.5784695910354</v>
      </c>
      <c r="CD54" s="12">
        <v>1078.6689885287112</v>
      </c>
      <c r="CE54" s="12">
        <v>679.14172131783528</v>
      </c>
      <c r="CF54" s="12">
        <v>400.26579949278994</v>
      </c>
      <c r="CG54" s="63">
        <v>271.02069178560913</v>
      </c>
      <c r="CH54" s="71">
        <v>8767.3999999999942</v>
      </c>
      <c r="CI54" s="71">
        <v>8439.6999999999989</v>
      </c>
      <c r="CJ54" s="71">
        <v>8147.900000000006</v>
      </c>
      <c r="CK54" s="71">
        <v>6833.4000000000051</v>
      </c>
      <c r="CL54" s="71">
        <v>5007.8999999999987</v>
      </c>
      <c r="CM54" s="71">
        <v>3537.6999999999966</v>
      </c>
      <c r="CN54" s="71">
        <v>2208.6</v>
      </c>
      <c r="CO54" s="71">
        <v>2379.5999999999976</v>
      </c>
      <c r="CP54" s="71">
        <v>3290.6000000000017</v>
      </c>
      <c r="CQ54" s="71">
        <v>5195.8000000000075</v>
      </c>
      <c r="CR54" s="71">
        <v>6791.5000000000045</v>
      </c>
      <c r="CS54" s="71">
        <v>8357.4999999999982</v>
      </c>
      <c r="CT54" s="79">
        <v>0</v>
      </c>
      <c r="CU54" s="79">
        <v>0</v>
      </c>
      <c r="CV54" s="79">
        <v>0</v>
      </c>
      <c r="CW54" s="79">
        <v>1.9000000000000021</v>
      </c>
      <c r="CX54" s="79">
        <v>6.1999999999999993</v>
      </c>
      <c r="CY54" s="79">
        <v>134.20000000000005</v>
      </c>
      <c r="CZ54" s="79">
        <v>272.59999999999991</v>
      </c>
      <c r="DA54" s="79">
        <v>242</v>
      </c>
      <c r="DB54" s="79">
        <v>48.199999999999996</v>
      </c>
      <c r="DC54" s="79">
        <v>0</v>
      </c>
      <c r="DD54" s="79">
        <v>0</v>
      </c>
      <c r="DE54" s="79">
        <v>0</v>
      </c>
      <c r="DF54" s="87">
        <v>0</v>
      </c>
      <c r="DG54" s="87">
        <v>0</v>
      </c>
      <c r="DH54" s="87">
        <v>0</v>
      </c>
      <c r="DI54" s="87">
        <v>0</v>
      </c>
      <c r="DJ54" s="87">
        <v>0</v>
      </c>
      <c r="DK54" s="87">
        <v>0.5</v>
      </c>
      <c r="DL54" s="87">
        <v>19.399999999999999</v>
      </c>
      <c r="DM54" s="87">
        <v>0</v>
      </c>
      <c r="DN54" s="87">
        <v>0</v>
      </c>
      <c r="DO54" s="87">
        <v>0</v>
      </c>
      <c r="DP54" s="87">
        <v>0</v>
      </c>
      <c r="DQ54" s="87">
        <v>0</v>
      </c>
      <c r="DR54" s="94">
        <v>13975.4</v>
      </c>
      <c r="DS54" s="94">
        <v>13143.699999999995</v>
      </c>
      <c r="DT54" s="94">
        <v>13355.9</v>
      </c>
      <c r="DU54" s="94">
        <v>11871.5</v>
      </c>
      <c r="DV54" s="94">
        <v>10209.699999999999</v>
      </c>
      <c r="DW54" s="94">
        <v>8443.9999999999909</v>
      </c>
      <c r="DX54" s="94">
        <v>7163.3999999999987</v>
      </c>
      <c r="DY54" s="94">
        <v>7345.6000000000049</v>
      </c>
      <c r="DZ54" s="94">
        <v>8282.399999999996</v>
      </c>
      <c r="EA54" s="94">
        <v>10403.799999999996</v>
      </c>
      <c r="EB54" s="94">
        <v>11831.499999999995</v>
      </c>
      <c r="EC54" s="94">
        <v>13565.499999999998</v>
      </c>
      <c r="ED54" s="225"/>
      <c r="ES54" s="534">
        <v>18.8</v>
      </c>
      <c r="ET54" s="532">
        <v>13.8</v>
      </c>
      <c r="EU54" s="535">
        <v>29.5</v>
      </c>
      <c r="EV54" s="535">
        <v>21.7</v>
      </c>
      <c r="EW54" s="538">
        <v>7.6</v>
      </c>
      <c r="EX54" s="538">
        <v>5.6</v>
      </c>
    </row>
    <row r="55" spans="1:154" hidden="1">
      <c r="A55" s="66" t="s">
        <v>261</v>
      </c>
      <c r="B55" s="96">
        <v>3.5895483870967744</v>
      </c>
      <c r="C55" s="97">
        <v>3.9814285714285722</v>
      </c>
      <c r="D55" s="97">
        <v>7.9170322580645172</v>
      </c>
      <c r="E55" s="97">
        <v>9.5920000000000005</v>
      </c>
      <c r="F55" s="97">
        <v>14.205161290322584</v>
      </c>
      <c r="G55" s="97">
        <v>16.875333333333334</v>
      </c>
      <c r="H55" s="97">
        <v>20.387870967741936</v>
      </c>
      <c r="I55" s="97">
        <v>19.768516129032264</v>
      </c>
      <c r="J55" s="97">
        <v>15.825466666666667</v>
      </c>
      <c r="K55" s="97">
        <v>12.406193548387094</v>
      </c>
      <c r="L55" s="97">
        <v>6.2401333333333344</v>
      </c>
      <c r="M55" s="100">
        <v>4.7278709677419339</v>
      </c>
      <c r="N55" s="105">
        <v>7.06</v>
      </c>
      <c r="O55" s="105">
        <v>4.4400000000000004</v>
      </c>
      <c r="P55" s="105">
        <v>3.73</v>
      </c>
      <c r="Q55" s="105">
        <v>4.3499999999999996</v>
      </c>
      <c r="R55" s="105">
        <v>7.88</v>
      </c>
      <c r="S55" s="105">
        <v>11.83</v>
      </c>
      <c r="T55" s="105">
        <v>15.55</v>
      </c>
      <c r="U55" s="105">
        <v>18.239999999999998</v>
      </c>
      <c r="V55" s="105">
        <v>19.03</v>
      </c>
      <c r="W55" s="105">
        <v>17.760000000000002</v>
      </c>
      <c r="X55" s="105">
        <v>14.71</v>
      </c>
      <c r="Y55" s="105">
        <v>10.87</v>
      </c>
      <c r="Z55" s="102">
        <v>1241.0967741935483</v>
      </c>
      <c r="AA55" s="4">
        <v>2030.1071428571429</v>
      </c>
      <c r="AB55" s="4">
        <v>3152.8064516129034</v>
      </c>
      <c r="AC55" s="4">
        <v>4044</v>
      </c>
      <c r="AD55" s="4">
        <v>5072.5161290322585</v>
      </c>
      <c r="AE55" s="4">
        <v>5156.7</v>
      </c>
      <c r="AF55" s="4">
        <v>6107.7096774193551</v>
      </c>
      <c r="AG55" s="4">
        <v>5132.9677419354839</v>
      </c>
      <c r="AH55" s="4">
        <v>3728.3666666666668</v>
      </c>
      <c r="AI55" s="4">
        <v>2367</v>
      </c>
      <c r="AJ55" s="4">
        <v>1410.2</v>
      </c>
      <c r="AK55" s="23">
        <v>953.41935483870964</v>
      </c>
      <c r="AL55" s="29">
        <v>2341.2150123497304</v>
      </c>
      <c r="AM55" s="6">
        <v>2853.274903910275</v>
      </c>
      <c r="AN55" s="6">
        <v>3079.418123864602</v>
      </c>
      <c r="AO55" s="6">
        <v>2660.4030857215321</v>
      </c>
      <c r="AP55" s="6">
        <v>2604.6277440630024</v>
      </c>
      <c r="AQ55" s="6">
        <v>2429.5021201413565</v>
      </c>
      <c r="AR55" s="6">
        <v>2870.4805266111034</v>
      </c>
      <c r="AS55" s="6">
        <v>3017.275237542573</v>
      </c>
      <c r="AT55" s="6">
        <v>3126.2176978677685</v>
      </c>
      <c r="AU55" s="6">
        <v>2963.7255574255587</v>
      </c>
      <c r="AV55" s="6">
        <v>2452.5479340458492</v>
      </c>
      <c r="AW55" s="30">
        <v>1865.8110431339812</v>
      </c>
      <c r="AX55" s="39">
        <v>1823.9672957224009</v>
      </c>
      <c r="AY55" s="8">
        <v>2378.0186589178547</v>
      </c>
      <c r="AZ55" s="8">
        <v>2900.3322156863342</v>
      </c>
      <c r="BA55" s="8">
        <v>2914.9720222743108</v>
      </c>
      <c r="BB55" s="8">
        <v>3113.4172120233429</v>
      </c>
      <c r="BC55" s="8">
        <v>2943.3419923583619</v>
      </c>
      <c r="BD55" s="8">
        <v>3586.1692584016855</v>
      </c>
      <c r="BE55" s="8">
        <v>3499.6382408068202</v>
      </c>
      <c r="BF55" s="8">
        <v>3144.4850314577652</v>
      </c>
      <c r="BG55" s="8">
        <v>2556.8492482575211</v>
      </c>
      <c r="BH55" s="8">
        <v>1940.4553691779649</v>
      </c>
      <c r="BI55" s="40">
        <v>1442.1996808787205</v>
      </c>
      <c r="BJ55" s="49">
        <v>1026.3248676320304</v>
      </c>
      <c r="BK55" s="10">
        <v>1584.9140595148483</v>
      </c>
      <c r="BL55" s="10">
        <v>2308.8662920418792</v>
      </c>
      <c r="BM55" s="10">
        <v>2758.6461254702685</v>
      </c>
      <c r="BN55" s="10">
        <v>3321.9216466692765</v>
      </c>
      <c r="BO55" s="10">
        <v>3300.3460953893891</v>
      </c>
      <c r="BP55" s="10">
        <v>3994.205121580801</v>
      </c>
      <c r="BQ55" s="10">
        <v>3485.2456543780459</v>
      </c>
      <c r="BR55" s="10">
        <v>2673.1936239415018</v>
      </c>
      <c r="BS55" s="10">
        <v>1809.6152460832227</v>
      </c>
      <c r="BT55" s="10">
        <v>1146.4067163090333</v>
      </c>
      <c r="BU55" s="50">
        <v>786.7381860504579</v>
      </c>
      <c r="BV55" s="57">
        <v>427.3898763949324</v>
      </c>
      <c r="BW55" s="12">
        <v>668.19522631422319</v>
      </c>
      <c r="BX55" s="12">
        <v>1004.9827596001863</v>
      </c>
      <c r="BY55" s="12">
        <v>1350.5722943823187</v>
      </c>
      <c r="BZ55" s="12">
        <v>1660.0421934363983</v>
      </c>
      <c r="CA55" s="12">
        <v>1760.7902724588785</v>
      </c>
      <c r="CB55" s="12">
        <v>1783.7658836293472</v>
      </c>
      <c r="CC55" s="12">
        <v>1526.7054849747101</v>
      </c>
      <c r="CD55" s="12">
        <v>1152.4928514843753</v>
      </c>
      <c r="CE55" s="12">
        <v>767.12169945129222</v>
      </c>
      <c r="CF55" s="12">
        <v>481.26923813346912</v>
      </c>
      <c r="CG55" s="63">
        <v>349.86041474634862</v>
      </c>
      <c r="CH55" s="71">
        <v>11436.199999999997</v>
      </c>
      <c r="CI55" s="71">
        <v>10048.000000000004</v>
      </c>
      <c r="CJ55" s="71">
        <v>8233.8999999999978</v>
      </c>
      <c r="CK55" s="71">
        <v>6768.4999999999973</v>
      </c>
      <c r="CL55" s="71">
        <v>4077.4999999999995</v>
      </c>
      <c r="CM55" s="71">
        <v>2244.3999999999996</v>
      </c>
      <c r="CN55" s="71">
        <v>935.90000000000009</v>
      </c>
      <c r="CO55" s="71">
        <v>1141.8000000000002</v>
      </c>
      <c r="CP55" s="71">
        <v>2799.9999999999986</v>
      </c>
      <c r="CQ55" s="71">
        <v>4970.8999999999987</v>
      </c>
      <c r="CR55" s="71">
        <v>9140.2000000000007</v>
      </c>
      <c r="CS55" s="71">
        <v>10595.7</v>
      </c>
      <c r="CT55" s="79">
        <v>1</v>
      </c>
      <c r="CU55" s="79">
        <v>0</v>
      </c>
      <c r="CV55" s="79">
        <v>45.300000000000004</v>
      </c>
      <c r="CW55" s="79">
        <v>60.900000000000006</v>
      </c>
      <c r="CX55" s="79">
        <v>608.4</v>
      </c>
      <c r="CY55" s="79">
        <v>797.40000000000032</v>
      </c>
      <c r="CZ55" s="79">
        <v>2076.4999999999991</v>
      </c>
      <c r="DA55" s="79">
        <v>1807.1000000000008</v>
      </c>
      <c r="DB55" s="79">
        <v>593.0999999999998</v>
      </c>
      <c r="DC55" s="79">
        <v>131.80000000000001</v>
      </c>
      <c r="DD55" s="79">
        <v>1</v>
      </c>
      <c r="DE55" s="79">
        <v>0</v>
      </c>
      <c r="DF55" s="87">
        <v>0</v>
      </c>
      <c r="DG55" s="87">
        <v>0</v>
      </c>
      <c r="DH55" s="87">
        <v>0</v>
      </c>
      <c r="DI55" s="87">
        <v>0</v>
      </c>
      <c r="DJ55" s="87">
        <v>29.2</v>
      </c>
      <c r="DK55" s="87">
        <v>58.000000000000014</v>
      </c>
      <c r="DL55" s="87">
        <v>329.30000000000013</v>
      </c>
      <c r="DM55" s="87">
        <v>245.00000000000003</v>
      </c>
      <c r="DN55" s="87">
        <v>30.2</v>
      </c>
      <c r="DO55" s="87">
        <v>0</v>
      </c>
      <c r="DP55" s="87">
        <v>0</v>
      </c>
      <c r="DQ55" s="87">
        <v>0</v>
      </c>
      <c r="DR55" s="94">
        <v>16643.2</v>
      </c>
      <c r="DS55" s="94">
        <v>14752.000000000004</v>
      </c>
      <c r="DT55" s="94">
        <v>13396.599999999999</v>
      </c>
      <c r="DU55" s="94">
        <v>11747.599999999991</v>
      </c>
      <c r="DV55" s="94">
        <v>8706.2999999999956</v>
      </c>
      <c r="DW55" s="94">
        <v>6544.9999999999982</v>
      </c>
      <c r="DX55" s="94">
        <v>4396.7000000000016</v>
      </c>
      <c r="DY55" s="94">
        <v>4787.7</v>
      </c>
      <c r="DZ55" s="94">
        <v>7277.0999999999976</v>
      </c>
      <c r="EA55" s="94">
        <v>10047.099999999995</v>
      </c>
      <c r="EB55" s="94">
        <v>14179.199999999988</v>
      </c>
      <c r="EC55" s="94">
        <v>15803.699999999997</v>
      </c>
      <c r="ED55" s="225"/>
      <c r="ES55" s="534">
        <v>18.8</v>
      </c>
      <c r="ET55" s="532">
        <v>13.8</v>
      </c>
      <c r="EU55" s="535">
        <v>29.5</v>
      </c>
      <c r="EV55" s="535">
        <v>21.7</v>
      </c>
      <c r="EW55" s="538">
        <v>7.6</v>
      </c>
      <c r="EX55" s="538">
        <v>5.6</v>
      </c>
    </row>
    <row r="56" spans="1:154" hidden="1">
      <c r="A56" s="66" t="s">
        <v>262</v>
      </c>
      <c r="B56" s="96">
        <v>2.1424516129032258</v>
      </c>
      <c r="C56" s="97">
        <v>2.5237142857142856</v>
      </c>
      <c r="D56" s="97">
        <v>6.3905806451612914</v>
      </c>
      <c r="E56" s="97">
        <v>9.4294666666666664</v>
      </c>
      <c r="F56" s="97">
        <v>13.660387096774192</v>
      </c>
      <c r="G56" s="97">
        <v>16.903333333333336</v>
      </c>
      <c r="H56" s="97">
        <v>20.016258064516133</v>
      </c>
      <c r="I56" s="97">
        <v>19.676387096774192</v>
      </c>
      <c r="J56" s="97">
        <v>15.649333333333336</v>
      </c>
      <c r="K56" s="97">
        <v>10.700516129032259</v>
      </c>
      <c r="L56" s="97">
        <v>5.7141333333333346</v>
      </c>
      <c r="M56" s="100">
        <v>3.6712473118279574</v>
      </c>
      <c r="N56" s="105">
        <v>3.23</v>
      </c>
      <c r="O56" s="105">
        <v>2.5099999999999998</v>
      </c>
      <c r="P56" s="105">
        <v>3.79</v>
      </c>
      <c r="Q56" s="105">
        <v>5.81</v>
      </c>
      <c r="R56" s="105">
        <v>11.09</v>
      </c>
      <c r="S56" s="105">
        <v>15.16</v>
      </c>
      <c r="T56" s="105">
        <v>17.91</v>
      </c>
      <c r="U56" s="105">
        <v>18.75</v>
      </c>
      <c r="V56" s="105">
        <v>17.32</v>
      </c>
      <c r="W56" s="105">
        <v>14.16</v>
      </c>
      <c r="X56" s="105">
        <v>9.93</v>
      </c>
      <c r="Y56" s="105">
        <v>6.01</v>
      </c>
      <c r="Z56" s="102">
        <v>970.41935483870964</v>
      </c>
      <c r="AA56" s="4">
        <v>1594.3928571428571</v>
      </c>
      <c r="AB56" s="4">
        <v>2629.1612903225805</v>
      </c>
      <c r="AC56" s="4">
        <v>4269.0666666666666</v>
      </c>
      <c r="AD56" s="4">
        <v>5040.0322580645161</v>
      </c>
      <c r="AE56" s="4">
        <v>5605.9666666666662</v>
      </c>
      <c r="AF56" s="4">
        <v>5898.8387096774195</v>
      </c>
      <c r="AG56" s="4">
        <v>4892.4516129032254</v>
      </c>
      <c r="AH56" s="4">
        <v>3597.8666666666668</v>
      </c>
      <c r="AI56" s="4">
        <v>2117.6451612903224</v>
      </c>
      <c r="AJ56" s="4">
        <v>1208.7</v>
      </c>
      <c r="AK56" s="23">
        <v>801.80645161290317</v>
      </c>
      <c r="AL56" s="29">
        <v>1791.4372323907305</v>
      </c>
      <c r="AM56" s="6">
        <v>2160.6647436006015</v>
      </c>
      <c r="AN56" s="6">
        <v>2539.6209798105579</v>
      </c>
      <c r="AO56" s="6">
        <v>2905.0418079298979</v>
      </c>
      <c r="AP56" s="6">
        <v>2655.288532797319</v>
      </c>
      <c r="AQ56" s="6">
        <v>2653.0842369447414</v>
      </c>
      <c r="AR56" s="6">
        <v>2871.879619768984</v>
      </c>
      <c r="AS56" s="6">
        <v>2961.389160051182</v>
      </c>
      <c r="AT56" s="6">
        <v>3109.7770297835555</v>
      </c>
      <c r="AU56" s="6">
        <v>2694.8844053101011</v>
      </c>
      <c r="AV56" s="6">
        <v>2141.2959738257782</v>
      </c>
      <c r="AW56" s="30">
        <v>1611.5645269398992</v>
      </c>
      <c r="AX56" s="39">
        <v>1400.7913823402141</v>
      </c>
      <c r="AY56" s="8">
        <v>1810.015165833323</v>
      </c>
      <c r="AZ56" s="8">
        <v>2386.5438067101363</v>
      </c>
      <c r="BA56" s="8">
        <v>3172.5268392036801</v>
      </c>
      <c r="BB56" s="8">
        <v>3142.6222751628316</v>
      </c>
      <c r="BC56" s="8">
        <v>3232.9186401198444</v>
      </c>
      <c r="BD56" s="8">
        <v>3522.2606371555571</v>
      </c>
      <c r="BE56" s="8">
        <v>3389.3591872879292</v>
      </c>
      <c r="BF56" s="8">
        <v>3105.3385373613514</v>
      </c>
      <c r="BG56" s="8">
        <v>2317.0366718733389</v>
      </c>
      <c r="BH56" s="8">
        <v>1690.6775512260333</v>
      </c>
      <c r="BI56" s="40">
        <v>1242.9384166573732</v>
      </c>
      <c r="BJ56" s="49">
        <v>796.60940444272956</v>
      </c>
      <c r="BK56" s="10">
        <v>1228.9374673491877</v>
      </c>
      <c r="BL56" s="10">
        <v>1914.4533643034945</v>
      </c>
      <c r="BM56" s="10">
        <v>2968.5454513885566</v>
      </c>
      <c r="BN56" s="10">
        <v>3331.2450473752506</v>
      </c>
      <c r="BO56" s="10">
        <v>3635.5616174247639</v>
      </c>
      <c r="BP56" s="10">
        <v>3886.5521623057566</v>
      </c>
      <c r="BQ56" s="10">
        <v>3348.8160712195026</v>
      </c>
      <c r="BR56" s="10">
        <v>2614.5246289609613</v>
      </c>
      <c r="BS56" s="10">
        <v>1632.4704479668435</v>
      </c>
      <c r="BT56" s="10">
        <v>991.61262055865836</v>
      </c>
      <c r="BU56" s="50">
        <v>669.15826639191573</v>
      </c>
      <c r="BV56" s="57">
        <v>362.89974275130436</v>
      </c>
      <c r="BW56" s="12">
        <v>583.25094364293477</v>
      </c>
      <c r="BX56" s="12">
        <v>921.25421466689386</v>
      </c>
      <c r="BY56" s="12">
        <v>1360.823685812195</v>
      </c>
      <c r="BZ56" s="12">
        <v>1653.8134416543096</v>
      </c>
      <c r="CA56" s="12">
        <v>1807.6977055898278</v>
      </c>
      <c r="CB56" s="12">
        <v>1772.6274772181741</v>
      </c>
      <c r="CC56" s="12">
        <v>1500.2192346919185</v>
      </c>
      <c r="CD56" s="12">
        <v>1121.5785765310295</v>
      </c>
      <c r="CE56" s="12">
        <v>714.68259592775678</v>
      </c>
      <c r="CF56" s="12">
        <v>430.4583355725581</v>
      </c>
      <c r="CG56" s="63">
        <v>304.83579238434447</v>
      </c>
      <c r="CH56" s="71">
        <v>12525.399999999989</v>
      </c>
      <c r="CI56" s="71">
        <v>11041.400000000009</v>
      </c>
      <c r="CJ56" s="71">
        <v>9334.6</v>
      </c>
      <c r="CK56" s="71">
        <v>6899.0999999999985</v>
      </c>
      <c r="CL56" s="71">
        <v>4230.6999999999989</v>
      </c>
      <c r="CM56" s="71">
        <v>2155.2999999999993</v>
      </c>
      <c r="CN56" s="71">
        <v>990.60000000000048</v>
      </c>
      <c r="CO56" s="71">
        <v>1025</v>
      </c>
      <c r="CP56" s="71">
        <v>2740.9</v>
      </c>
      <c r="CQ56" s="71">
        <v>6123.9000000000051</v>
      </c>
      <c r="CR56" s="71">
        <v>9531.9000000000069</v>
      </c>
      <c r="CS56" s="71">
        <v>11386.100000000011</v>
      </c>
      <c r="CT56" s="79">
        <v>0</v>
      </c>
      <c r="CU56" s="79">
        <v>0</v>
      </c>
      <c r="CV56" s="79">
        <v>0</v>
      </c>
      <c r="CW56" s="79">
        <v>71.5</v>
      </c>
      <c r="CX56" s="79">
        <v>342.9</v>
      </c>
      <c r="CY56" s="79">
        <v>731.7</v>
      </c>
      <c r="CZ56" s="79">
        <v>1845.1999999999996</v>
      </c>
      <c r="DA56" s="79">
        <v>1616.9000000000003</v>
      </c>
      <c r="DB56" s="79">
        <v>387.40000000000003</v>
      </c>
      <c r="DC56" s="79">
        <v>7.7999999999999972</v>
      </c>
      <c r="DD56" s="79">
        <v>0</v>
      </c>
      <c r="DE56" s="79">
        <v>0</v>
      </c>
      <c r="DF56" s="87">
        <v>0</v>
      </c>
      <c r="DG56" s="87">
        <v>0</v>
      </c>
      <c r="DH56" s="87">
        <v>0</v>
      </c>
      <c r="DI56" s="87">
        <v>0</v>
      </c>
      <c r="DJ56" s="87">
        <v>0</v>
      </c>
      <c r="DK56" s="87">
        <v>18.900000000000002</v>
      </c>
      <c r="DL56" s="87">
        <v>201.29999999999998</v>
      </c>
      <c r="DM56" s="87">
        <v>145.30000000000004</v>
      </c>
      <c r="DN56" s="87">
        <v>2</v>
      </c>
      <c r="DO56" s="87">
        <v>0</v>
      </c>
      <c r="DP56" s="87">
        <v>0</v>
      </c>
      <c r="DQ56" s="87">
        <v>0</v>
      </c>
      <c r="DR56" s="94">
        <v>17733.399999999987</v>
      </c>
      <c r="DS56" s="94">
        <v>15745.399999999994</v>
      </c>
      <c r="DT56" s="94">
        <v>14542.599999999995</v>
      </c>
      <c r="DU56" s="94">
        <v>11867.599999999997</v>
      </c>
      <c r="DV56" s="94">
        <v>9095.8000000000065</v>
      </c>
      <c r="DW56" s="94">
        <v>6482.5000000000009</v>
      </c>
      <c r="DX56" s="94">
        <v>4554.7000000000007</v>
      </c>
      <c r="DY56" s="94">
        <v>4761.3999999999951</v>
      </c>
      <c r="DZ56" s="94">
        <v>7395.4999999999964</v>
      </c>
      <c r="EA56" s="94">
        <v>11324.099999999999</v>
      </c>
      <c r="EB56" s="94">
        <v>14571.899999999992</v>
      </c>
      <c r="EC56" s="94">
        <v>16594.100000000017</v>
      </c>
      <c r="ED56" s="225"/>
      <c r="ES56" s="534">
        <v>18.8</v>
      </c>
      <c r="ET56" s="532">
        <v>13.8</v>
      </c>
      <c r="EU56" s="535">
        <v>29.5</v>
      </c>
      <c r="EV56" s="535">
        <v>21.7</v>
      </c>
      <c r="EW56" s="538">
        <v>7.6</v>
      </c>
      <c r="EX56" s="538">
        <v>5.6</v>
      </c>
    </row>
    <row r="57" spans="1:154" hidden="1">
      <c r="A57" s="66" t="s">
        <v>255</v>
      </c>
      <c r="B57" s="96">
        <v>6.5590967741935504</v>
      </c>
      <c r="C57" s="97">
        <v>6.8188571428571425</v>
      </c>
      <c r="D57" s="97">
        <v>9.8790967741935471</v>
      </c>
      <c r="E57" s="97">
        <v>13.183733333333331</v>
      </c>
      <c r="F57" s="97">
        <v>17.227354838709676</v>
      </c>
      <c r="G57" s="97">
        <v>20.760133333333336</v>
      </c>
      <c r="H57" s="97">
        <v>24.360258064516128</v>
      </c>
      <c r="I57" s="97">
        <v>24.005419354838708</v>
      </c>
      <c r="J57" s="97">
        <v>20.048266666666667</v>
      </c>
      <c r="K57" s="97">
        <v>14.93883870967742</v>
      </c>
      <c r="L57" s="97">
        <v>10.585466666666667</v>
      </c>
      <c r="M57" s="100">
        <v>7.9359247311827952</v>
      </c>
      <c r="N57" s="105">
        <v>7.45</v>
      </c>
      <c r="O57" s="105">
        <v>6.73</v>
      </c>
      <c r="P57" s="105">
        <v>8.01</v>
      </c>
      <c r="Q57" s="105">
        <v>10.01</v>
      </c>
      <c r="R57" s="105">
        <v>15.25</v>
      </c>
      <c r="S57" s="105">
        <v>19.29</v>
      </c>
      <c r="T57" s="105">
        <v>22.02</v>
      </c>
      <c r="U57" s="105">
        <v>22.85</v>
      </c>
      <c r="V57" s="105">
        <v>21.43</v>
      </c>
      <c r="W57" s="105">
        <v>18.3</v>
      </c>
      <c r="X57" s="105">
        <v>14.1</v>
      </c>
      <c r="Y57" s="105">
        <v>10.210000000000001</v>
      </c>
      <c r="Z57" s="102">
        <v>1750.516129032258</v>
      </c>
      <c r="AA57" s="4">
        <v>2452.3214285714284</v>
      </c>
      <c r="AB57" s="4">
        <v>3858.7419354838707</v>
      </c>
      <c r="AC57" s="4">
        <v>5087.1000000000004</v>
      </c>
      <c r="AD57" s="4">
        <v>6340.7419354838712</v>
      </c>
      <c r="AE57" s="4">
        <v>6965.333333333333</v>
      </c>
      <c r="AF57" s="4">
        <v>7169.677419354839</v>
      </c>
      <c r="AG57" s="4">
        <v>6204.9032258064517</v>
      </c>
      <c r="AH57" s="4">
        <v>4567.6333333333332</v>
      </c>
      <c r="AI57" s="4">
        <v>2965.1935483870966</v>
      </c>
      <c r="AJ57" s="4">
        <v>1850.2666666666667</v>
      </c>
      <c r="AK57" s="23">
        <v>1471.483870967742</v>
      </c>
      <c r="AL57" s="29">
        <v>3360.8492292662295</v>
      </c>
      <c r="AM57" s="6">
        <v>3362.2308498848238</v>
      </c>
      <c r="AN57" s="6">
        <v>3726.1350367757886</v>
      </c>
      <c r="AO57" s="6">
        <v>3234.5917552023957</v>
      </c>
      <c r="AP57" s="6">
        <v>2997.1006076667231</v>
      </c>
      <c r="AQ57" s="6">
        <v>2875.6479228208095</v>
      </c>
      <c r="AR57" s="6">
        <v>3073.9998678569864</v>
      </c>
      <c r="AS57" s="6">
        <v>3445.9214176922042</v>
      </c>
      <c r="AT57" s="6">
        <v>3761.0692976008163</v>
      </c>
      <c r="AU57" s="6">
        <v>3695.0694124369206</v>
      </c>
      <c r="AV57" s="6">
        <v>3193.8372570737752</v>
      </c>
      <c r="AW57" s="30">
        <v>3038.5679167871799</v>
      </c>
      <c r="AX57" s="39">
        <v>2608.8265351098144</v>
      </c>
      <c r="AY57" s="8">
        <v>2814.6778315718639</v>
      </c>
      <c r="AZ57" s="8">
        <v>3536.393216363233</v>
      </c>
      <c r="BA57" s="8">
        <v>3648.738838637958</v>
      </c>
      <c r="BB57" s="8">
        <v>3796.6703653825621</v>
      </c>
      <c r="BC57" s="8">
        <v>3814.3931985425133</v>
      </c>
      <c r="BD57" s="8">
        <v>4075.4671243388757</v>
      </c>
      <c r="BE57" s="8">
        <v>4157.4423058375969</v>
      </c>
      <c r="BF57" s="8">
        <v>3835.823130372577</v>
      </c>
      <c r="BG57" s="8">
        <v>3196.0103809679663</v>
      </c>
      <c r="BH57" s="8">
        <v>2527.6028871131575</v>
      </c>
      <c r="BI57" s="40">
        <v>2328.1954567142361</v>
      </c>
      <c r="BJ57" s="49">
        <v>1453.1869335550816</v>
      </c>
      <c r="BK57" s="10">
        <v>1889.6366633341815</v>
      </c>
      <c r="BL57" s="10">
        <v>2815.3712399094998</v>
      </c>
      <c r="BM57" s="10">
        <v>3477.0130897391027</v>
      </c>
      <c r="BN57" s="10">
        <v>4152.4282130900083</v>
      </c>
      <c r="BO57" s="10">
        <v>4471.5713824316745</v>
      </c>
      <c r="BP57" s="10">
        <v>4664.4174010871002</v>
      </c>
      <c r="BQ57" s="10">
        <v>4201.8943004604716</v>
      </c>
      <c r="BR57" s="10">
        <v>3267.2692434573119</v>
      </c>
      <c r="BS57" s="10">
        <v>2257.0307484625569</v>
      </c>
      <c r="BT57" s="10">
        <v>1494.4755302094211</v>
      </c>
      <c r="BU57" s="50">
        <v>1237.3617362202942</v>
      </c>
      <c r="BV57" s="57">
        <v>524.40764069601369</v>
      </c>
      <c r="BW57" s="12">
        <v>751.1148694463659</v>
      </c>
      <c r="BX57" s="12">
        <v>1094.8634769968689</v>
      </c>
      <c r="BY57" s="12">
        <v>1454.5168672058348</v>
      </c>
      <c r="BZ57" s="12">
        <v>1739.8321363129057</v>
      </c>
      <c r="CA57" s="12">
        <v>1862.7289513362639</v>
      </c>
      <c r="CB57" s="12">
        <v>1798.8759980580871</v>
      </c>
      <c r="CC57" s="12">
        <v>1573.1049775704889</v>
      </c>
      <c r="CD57" s="12">
        <v>1232.9011961294882</v>
      </c>
      <c r="CE57" s="12">
        <v>859.46703758533215</v>
      </c>
      <c r="CF57" s="12">
        <v>570.68051406631639</v>
      </c>
      <c r="CG57" s="63">
        <v>455.95904969013662</v>
      </c>
      <c r="CH57" s="71">
        <v>9201.7000000000025</v>
      </c>
      <c r="CI57" s="71">
        <v>8147.300000000002</v>
      </c>
      <c r="CJ57" s="71">
        <v>6736.300000000002</v>
      </c>
      <c r="CK57" s="71">
        <v>4194.0000000000018</v>
      </c>
      <c r="CL57" s="71">
        <v>2103.5000000000005</v>
      </c>
      <c r="CM57" s="71">
        <v>665.79999999999973</v>
      </c>
      <c r="CN57" s="71">
        <v>49.899999999999991</v>
      </c>
      <c r="CO57" s="71">
        <v>85.600000000000023</v>
      </c>
      <c r="CP57" s="71">
        <v>721.40000000000009</v>
      </c>
      <c r="CQ57" s="71">
        <v>3069.5000000000014</v>
      </c>
      <c r="CR57" s="71">
        <v>6007.7000000000025</v>
      </c>
      <c r="CS57" s="71">
        <v>8198.100000000004</v>
      </c>
      <c r="CT57" s="79">
        <v>0</v>
      </c>
      <c r="CU57" s="79">
        <v>0</v>
      </c>
      <c r="CV57" s="79">
        <v>12.7</v>
      </c>
      <c r="CW57" s="79">
        <v>71.2</v>
      </c>
      <c r="CX57" s="79">
        <v>878.19999999999982</v>
      </c>
      <c r="CY57" s="79">
        <v>2016.0999999999992</v>
      </c>
      <c r="CZ57" s="79">
        <v>4125.9000000000015</v>
      </c>
      <c r="DA57" s="79">
        <v>3889.4</v>
      </c>
      <c r="DB57" s="79">
        <v>1544.2999999999997</v>
      </c>
      <c r="DC57" s="79">
        <v>102.5</v>
      </c>
      <c r="DD57" s="79">
        <v>1.5</v>
      </c>
      <c r="DE57" s="79">
        <v>0</v>
      </c>
      <c r="DF57" s="87">
        <v>0</v>
      </c>
      <c r="DG57" s="87">
        <v>0</v>
      </c>
      <c r="DH57" s="87">
        <v>0</v>
      </c>
      <c r="DI57" s="87">
        <v>0</v>
      </c>
      <c r="DJ57" s="87">
        <v>15</v>
      </c>
      <c r="DK57" s="87">
        <v>182.09999999999997</v>
      </c>
      <c r="DL57" s="87">
        <v>723.69999999999993</v>
      </c>
      <c r="DM57" s="87">
        <v>608.1999999999997</v>
      </c>
      <c r="DN57" s="87">
        <v>44.100000000000009</v>
      </c>
      <c r="DO57" s="87">
        <v>0</v>
      </c>
      <c r="DP57" s="87">
        <v>0</v>
      </c>
      <c r="DQ57" s="87">
        <v>0</v>
      </c>
      <c r="DR57" s="94">
        <v>14409.699999999999</v>
      </c>
      <c r="DS57" s="94">
        <v>12851.299999999992</v>
      </c>
      <c r="DT57" s="94">
        <v>11931.599999999999</v>
      </c>
      <c r="DU57" s="94">
        <v>9162.7999999999975</v>
      </c>
      <c r="DV57" s="94">
        <v>6448.300000000002</v>
      </c>
      <c r="DW57" s="94">
        <v>3871.8000000000006</v>
      </c>
      <c r="DX57" s="94">
        <v>1855.7</v>
      </c>
      <c r="DY57" s="94">
        <v>2012.4000000000012</v>
      </c>
      <c r="DZ57" s="94">
        <v>4261.1999999999989</v>
      </c>
      <c r="EA57" s="94">
        <v>8174.9999999999982</v>
      </c>
      <c r="EB57" s="94">
        <v>11046.199999999999</v>
      </c>
      <c r="EC57" s="94">
        <v>13406.099999999999</v>
      </c>
      <c r="ED57" s="225"/>
      <c r="ES57" s="534">
        <v>18.8</v>
      </c>
      <c r="ET57" s="532">
        <v>13.8</v>
      </c>
      <c r="EU57" s="535">
        <v>29.5</v>
      </c>
      <c r="EV57" s="535">
        <v>21.7</v>
      </c>
      <c r="EW57" s="538">
        <v>7.6</v>
      </c>
      <c r="EX57" s="538">
        <v>5.6</v>
      </c>
    </row>
    <row r="58" spans="1:154" hidden="1">
      <c r="A58" s="66" t="s">
        <v>263</v>
      </c>
      <c r="B58" s="96">
        <v>7.3678709677419354</v>
      </c>
      <c r="C58" s="97">
        <v>7.2842857142857165</v>
      </c>
      <c r="D58" s="97">
        <v>10.277290322580644</v>
      </c>
      <c r="E58" s="97">
        <v>13.155333333333335</v>
      </c>
      <c r="F58" s="97">
        <v>16.757290322580644</v>
      </c>
      <c r="G58" s="97">
        <v>20.818399999999997</v>
      </c>
      <c r="H58" s="97">
        <v>23.872516129032263</v>
      </c>
      <c r="I58" s="97">
        <v>23.407225806451621</v>
      </c>
      <c r="J58" s="97">
        <v>19.878266666666669</v>
      </c>
      <c r="K58" s="97">
        <v>15.342709677419354</v>
      </c>
      <c r="L58" s="97">
        <v>10.510799999999998</v>
      </c>
      <c r="M58" s="100">
        <v>7.4949354838709672</v>
      </c>
      <c r="N58" s="105">
        <v>7.94</v>
      </c>
      <c r="O58" s="105">
        <v>7.27</v>
      </c>
      <c r="P58" s="105">
        <v>8.4600000000000009</v>
      </c>
      <c r="Q58" s="105">
        <v>10.33</v>
      </c>
      <c r="R58" s="105">
        <v>15.21</v>
      </c>
      <c r="S58" s="105">
        <v>18.98</v>
      </c>
      <c r="T58" s="105">
        <v>21.52</v>
      </c>
      <c r="U58" s="105">
        <v>22.29</v>
      </c>
      <c r="V58" s="105">
        <v>20.97</v>
      </c>
      <c r="W58" s="105">
        <v>18.05</v>
      </c>
      <c r="X58" s="105">
        <v>14.14</v>
      </c>
      <c r="Y58" s="105">
        <v>10.52</v>
      </c>
      <c r="Z58" s="102">
        <v>1713.5483870967741</v>
      </c>
      <c r="AA58" s="4">
        <v>2325.7142857142858</v>
      </c>
      <c r="AB58" s="4">
        <v>3936.9677419354839</v>
      </c>
      <c r="AC58" s="4">
        <v>4835.0666666666666</v>
      </c>
      <c r="AD58" s="4">
        <v>5760.9354838709678</v>
      </c>
      <c r="AE58" s="4">
        <v>6490.0333333333338</v>
      </c>
      <c r="AF58" s="4">
        <v>6746.3548387096771</v>
      </c>
      <c r="AG58" s="4">
        <v>5975.1612903225805</v>
      </c>
      <c r="AH58" s="4">
        <v>4294.2666666666664</v>
      </c>
      <c r="AI58" s="4">
        <v>2787.1935483870966</v>
      </c>
      <c r="AJ58" s="4">
        <v>1776.1666666666667</v>
      </c>
      <c r="AK58" s="23">
        <v>1413.5806451612902</v>
      </c>
      <c r="AL58" s="29">
        <v>3282.7612515181263</v>
      </c>
      <c r="AM58" s="6">
        <v>3137.3933025443707</v>
      </c>
      <c r="AN58" s="6">
        <v>3838.0888661271615</v>
      </c>
      <c r="AO58" s="6">
        <v>3076.0826685519028</v>
      </c>
      <c r="AP58" s="6">
        <v>2783.4274540454112</v>
      </c>
      <c r="AQ58" s="6">
        <v>2752.8770342597077</v>
      </c>
      <c r="AR58" s="6">
        <v>2954.2357575736883</v>
      </c>
      <c r="AS58" s="6">
        <v>3335.4987293645831</v>
      </c>
      <c r="AT58" s="6">
        <v>3504.8055548435082</v>
      </c>
      <c r="AU58" s="6">
        <v>3410.467781814431</v>
      </c>
      <c r="AV58" s="6">
        <v>3029.9519630098675</v>
      </c>
      <c r="AW58" s="30">
        <v>2886.7963244645148</v>
      </c>
      <c r="AX58" s="39">
        <v>2549.1291742410917</v>
      </c>
      <c r="AY58" s="8">
        <v>2632.8381572939047</v>
      </c>
      <c r="AZ58" s="8">
        <v>3638.0763601582939</v>
      </c>
      <c r="BA58" s="8">
        <v>3453.0399752569606</v>
      </c>
      <c r="BB58" s="8">
        <v>3455.1666491458777</v>
      </c>
      <c r="BC58" s="8">
        <v>3577.6298612576243</v>
      </c>
      <c r="BD58" s="8">
        <v>3850.6549478746024</v>
      </c>
      <c r="BE58" s="8">
        <v>3999.3898978159186</v>
      </c>
      <c r="BF58" s="8">
        <v>3569.5682908151962</v>
      </c>
      <c r="BG58" s="8">
        <v>2957.3854294283915</v>
      </c>
      <c r="BH58" s="8">
        <v>2402.012887639125</v>
      </c>
      <c r="BI58" s="40">
        <v>2215.2313917515467</v>
      </c>
      <c r="BJ58" s="49">
        <v>1421.5645731372279</v>
      </c>
      <c r="BK58" s="10">
        <v>1781.0634808805894</v>
      </c>
      <c r="BL58" s="10">
        <v>2884.9957334767478</v>
      </c>
      <c r="BM58" s="10">
        <v>3292.8991268874925</v>
      </c>
      <c r="BN58" s="10">
        <v>3752.7518612624685</v>
      </c>
      <c r="BO58" s="10">
        <v>4154.6657432621168</v>
      </c>
      <c r="BP58" s="10">
        <v>4376.8849276038736</v>
      </c>
      <c r="BQ58" s="10">
        <v>4037.6391481816554</v>
      </c>
      <c r="BR58" s="10">
        <v>3054.0147751119107</v>
      </c>
      <c r="BS58" s="10">
        <v>2106.1563145439545</v>
      </c>
      <c r="BT58" s="10">
        <v>1428.2971943068285</v>
      </c>
      <c r="BU58" s="50">
        <v>1183.596925324375</v>
      </c>
      <c r="BV58" s="57">
        <v>518.72707406516804</v>
      </c>
      <c r="BW58" s="12">
        <v>736.43347704760481</v>
      </c>
      <c r="BX58" s="12">
        <v>1096.2953772125466</v>
      </c>
      <c r="BY58" s="12">
        <v>1439.5019578712165</v>
      </c>
      <c r="BZ58" s="12">
        <v>1717.0539286677792</v>
      </c>
      <c r="CA58" s="12">
        <v>1853.2748965056353</v>
      </c>
      <c r="CB58" s="12">
        <v>1801.2355195480779</v>
      </c>
      <c r="CC58" s="12">
        <v>1572.0691147558621</v>
      </c>
      <c r="CD58" s="12">
        <v>1220.6267133606543</v>
      </c>
      <c r="CE58" s="12">
        <v>843.87626419042726</v>
      </c>
      <c r="CF58" s="12">
        <v>560.76943097008859</v>
      </c>
      <c r="CG58" s="63">
        <v>447.49531765867147</v>
      </c>
      <c r="CH58" s="71">
        <v>8603.3000000000011</v>
      </c>
      <c r="CI58" s="71">
        <v>7833.4000000000033</v>
      </c>
      <c r="CJ58" s="71">
        <v>6450.0999999999985</v>
      </c>
      <c r="CK58" s="71">
        <v>4229.3999999999996</v>
      </c>
      <c r="CL58" s="71">
        <v>2138.3999999999996</v>
      </c>
      <c r="CM58" s="71">
        <v>606.4</v>
      </c>
      <c r="CN58" s="71">
        <v>75.899999999999991</v>
      </c>
      <c r="CO58" s="71">
        <v>220.6</v>
      </c>
      <c r="CP58" s="71">
        <v>866.3</v>
      </c>
      <c r="CQ58" s="71">
        <v>2853.7000000000016</v>
      </c>
      <c r="CR58" s="71">
        <v>6101.4000000000024</v>
      </c>
      <c r="CS58" s="71">
        <v>8498.7000000000007</v>
      </c>
      <c r="CT58" s="79">
        <v>0</v>
      </c>
      <c r="CU58" s="79">
        <v>9.1999999999999993</v>
      </c>
      <c r="CV58" s="79">
        <v>21.099999999999998</v>
      </c>
      <c r="CW58" s="79">
        <v>74.5</v>
      </c>
      <c r="CX58" s="79">
        <v>553.10000000000014</v>
      </c>
      <c r="CY58" s="79">
        <v>2001.8999999999999</v>
      </c>
      <c r="CZ58" s="79">
        <v>3783.4999999999973</v>
      </c>
      <c r="DA58" s="79">
        <v>3586</v>
      </c>
      <c r="DB58" s="79">
        <v>1574.1999999999998</v>
      </c>
      <c r="DC58" s="79">
        <v>205.2</v>
      </c>
      <c r="DD58" s="79">
        <v>31.2</v>
      </c>
      <c r="DE58" s="79">
        <v>1.6999999999999993</v>
      </c>
      <c r="DF58" s="87">
        <v>0</v>
      </c>
      <c r="DG58" s="87">
        <v>0</v>
      </c>
      <c r="DH58" s="87">
        <v>0</v>
      </c>
      <c r="DI58" s="87">
        <v>1.8000000000000007</v>
      </c>
      <c r="DJ58" s="87">
        <v>7.1999999999999957</v>
      </c>
      <c r="DK58" s="87">
        <v>178.09999999999997</v>
      </c>
      <c r="DL58" s="87">
        <v>599.19999999999982</v>
      </c>
      <c r="DM58" s="87">
        <v>651.40000000000009</v>
      </c>
      <c r="DN58" s="87">
        <v>115.9</v>
      </c>
      <c r="DO58" s="87">
        <v>0</v>
      </c>
      <c r="DP58" s="87">
        <v>0</v>
      </c>
      <c r="DQ58" s="87">
        <v>0</v>
      </c>
      <c r="DR58" s="94">
        <v>13811.300000000003</v>
      </c>
      <c r="DS58" s="94">
        <v>12528.2</v>
      </c>
      <c r="DT58" s="94">
        <v>11637.000000000007</v>
      </c>
      <c r="DU58" s="94">
        <v>9196.6999999999953</v>
      </c>
      <c r="DV58" s="94">
        <v>6800.5000000000055</v>
      </c>
      <c r="DW58" s="94">
        <v>3822.5999999999963</v>
      </c>
      <c r="DX58" s="94">
        <v>2099.6000000000004</v>
      </c>
      <c r="DY58" s="94">
        <v>2494</v>
      </c>
      <c r="DZ58" s="94">
        <v>4448.0000000000018</v>
      </c>
      <c r="EA58" s="94">
        <v>7856.4999999999973</v>
      </c>
      <c r="EB58" s="94">
        <v>11110.2</v>
      </c>
      <c r="EC58" s="94">
        <v>13705</v>
      </c>
      <c r="ED58" s="225"/>
      <c r="ES58" s="534">
        <v>18.8</v>
      </c>
      <c r="ET58" s="532">
        <v>13.8</v>
      </c>
      <c r="EU58" s="535">
        <v>29.5</v>
      </c>
      <c r="EV58" s="535">
        <v>21.7</v>
      </c>
      <c r="EW58" s="538">
        <v>7.6</v>
      </c>
      <c r="EX58" s="538">
        <v>5.6</v>
      </c>
    </row>
    <row r="59" spans="1:154" hidden="1">
      <c r="A59" s="66" t="s">
        <v>264</v>
      </c>
      <c r="B59" s="96">
        <v>2.2587096774193562</v>
      </c>
      <c r="C59" s="97">
        <v>2.467714285714286</v>
      </c>
      <c r="D59" s="97">
        <v>5.1009032258064524</v>
      </c>
      <c r="E59" s="97">
        <v>9.1466666666666665</v>
      </c>
      <c r="F59" s="97">
        <v>13.251096774193551</v>
      </c>
      <c r="G59" s="97">
        <v>16.111733333333337</v>
      </c>
      <c r="H59" s="97">
        <v>19.576903225806443</v>
      </c>
      <c r="I59" s="97">
        <v>17.864774193548381</v>
      </c>
      <c r="J59" s="97">
        <v>14.679733333333337</v>
      </c>
      <c r="K59" s="97">
        <v>10.900645161290322</v>
      </c>
      <c r="L59" s="97">
        <v>5.8162666666666656</v>
      </c>
      <c r="M59" s="100">
        <v>3.1673225806451608</v>
      </c>
      <c r="N59" s="105">
        <v>2.2599999999999998</v>
      </c>
      <c r="O59" s="105">
        <v>3.74</v>
      </c>
      <c r="P59" s="105">
        <v>6.63</v>
      </c>
      <c r="Q59" s="105">
        <v>9.35</v>
      </c>
      <c r="R59" s="105">
        <v>14.52</v>
      </c>
      <c r="S59" s="105">
        <v>17.23</v>
      </c>
      <c r="T59" s="105">
        <v>17.98</v>
      </c>
      <c r="U59" s="105">
        <v>16.600000000000001</v>
      </c>
      <c r="V59" s="105">
        <v>13.42</v>
      </c>
      <c r="W59" s="105">
        <v>9.4499999999999993</v>
      </c>
      <c r="X59" s="105">
        <v>5.55</v>
      </c>
      <c r="Y59" s="105">
        <v>2.97</v>
      </c>
      <c r="Z59" s="102">
        <v>759.29032258064512</v>
      </c>
      <c r="AA59" s="4">
        <v>1475.6071428571429</v>
      </c>
      <c r="AB59" s="4">
        <v>2667.0322580645161</v>
      </c>
      <c r="AC59" s="4">
        <v>3793.2666666666669</v>
      </c>
      <c r="AD59" s="4">
        <v>4498.6451612903229</v>
      </c>
      <c r="AE59" s="4">
        <v>5476.7666666666664</v>
      </c>
      <c r="AF59" s="4">
        <v>5636.1612903225805</v>
      </c>
      <c r="AG59" s="4">
        <v>4816</v>
      </c>
      <c r="AH59" s="4">
        <v>3147.1333333333332</v>
      </c>
      <c r="AI59" s="4">
        <v>1765.9677419354839</v>
      </c>
      <c r="AJ59" s="4">
        <v>1038.3</v>
      </c>
      <c r="AK59" s="23">
        <v>660.77419354838707</v>
      </c>
      <c r="AL59" s="29">
        <v>1367.8778816650852</v>
      </c>
      <c r="AM59" s="6">
        <v>2069.3828257615892</v>
      </c>
      <c r="AN59" s="6">
        <v>2701.2558204086936</v>
      </c>
      <c r="AO59" s="6">
        <v>2621.6483249328348</v>
      </c>
      <c r="AP59" s="6">
        <v>2451.8516424829704</v>
      </c>
      <c r="AQ59" s="6">
        <v>2666.3231016293398</v>
      </c>
      <c r="AR59" s="6">
        <v>2836.5249383038931</v>
      </c>
      <c r="AS59" s="6">
        <v>2994.2771407548121</v>
      </c>
      <c r="AT59" s="6">
        <v>2730.8540926493283</v>
      </c>
      <c r="AU59" s="6">
        <v>2211.4934010154502</v>
      </c>
      <c r="AV59" s="6">
        <v>1874.0072152462883</v>
      </c>
      <c r="AW59" s="30">
        <v>1350.0301996834037</v>
      </c>
      <c r="AX59" s="39">
        <v>1073.9098188227499</v>
      </c>
      <c r="AY59" s="8">
        <v>1723.9330486518891</v>
      </c>
      <c r="AZ59" s="8">
        <v>2518.7061556520384</v>
      </c>
      <c r="BA59" s="8">
        <v>2827.3397443275007</v>
      </c>
      <c r="BB59" s="8">
        <v>2834.1035001183204</v>
      </c>
      <c r="BC59" s="8">
        <v>3202.5412474878694</v>
      </c>
      <c r="BD59" s="8">
        <v>3416.3428548387233</v>
      </c>
      <c r="BE59" s="8">
        <v>3397.4924871797357</v>
      </c>
      <c r="BF59" s="8">
        <v>2710.5232916530435</v>
      </c>
      <c r="BG59" s="8">
        <v>1904.2611378265563</v>
      </c>
      <c r="BH59" s="8">
        <v>1476.520790134123</v>
      </c>
      <c r="BI59" s="40">
        <v>1040.3365569222235</v>
      </c>
      <c r="BJ59" s="49">
        <v>617.69367309729114</v>
      </c>
      <c r="BK59" s="10">
        <v>1154.9691406787013</v>
      </c>
      <c r="BL59" s="10">
        <v>1985.4132348947726</v>
      </c>
      <c r="BM59" s="10">
        <v>2638.0104025831943</v>
      </c>
      <c r="BN59" s="10">
        <v>2973.9110154095097</v>
      </c>
      <c r="BO59" s="10">
        <v>3576.3393394873779</v>
      </c>
      <c r="BP59" s="10">
        <v>3736.6007383294527</v>
      </c>
      <c r="BQ59" s="10">
        <v>3332.8279172049752</v>
      </c>
      <c r="BR59" s="10">
        <v>2285.3596408472263</v>
      </c>
      <c r="BS59" s="10">
        <v>1354.1402007163113</v>
      </c>
      <c r="BT59" s="10">
        <v>859.32716678080453</v>
      </c>
      <c r="BU59" s="50">
        <v>555.07055397636088</v>
      </c>
      <c r="BV59" s="57">
        <v>304.33737145622314</v>
      </c>
      <c r="BW59" s="12">
        <v>545.69932630634264</v>
      </c>
      <c r="BX59" s="12">
        <v>909.30083173481898</v>
      </c>
      <c r="BY59" s="12">
        <v>1297.1939061125754</v>
      </c>
      <c r="BZ59" s="12">
        <v>1589.5525565658932</v>
      </c>
      <c r="CA59" s="12">
        <v>1798.8177506167024</v>
      </c>
      <c r="CB59" s="12">
        <v>1755.4129351426691</v>
      </c>
      <c r="CC59" s="12">
        <v>1484.3019818000469</v>
      </c>
      <c r="CD59" s="12">
        <v>1056.8773267282008</v>
      </c>
      <c r="CE59" s="12">
        <v>643.21615891068257</v>
      </c>
      <c r="CF59" s="12">
        <v>383.9234453422963</v>
      </c>
      <c r="CG59" s="63">
        <v>261.46759441909512</v>
      </c>
      <c r="CH59" s="71">
        <v>12427.299999999992</v>
      </c>
      <c r="CI59" s="71">
        <v>11088.299999999994</v>
      </c>
      <c r="CJ59" s="71">
        <v>10280.399999999994</v>
      </c>
      <c r="CK59" s="71">
        <v>7067.3000000000011</v>
      </c>
      <c r="CL59" s="71">
        <v>4561.800000000002</v>
      </c>
      <c r="CM59" s="71">
        <v>2558.6999999999998</v>
      </c>
      <c r="CN59" s="71">
        <v>1134.9000000000003</v>
      </c>
      <c r="CO59" s="71">
        <v>2056.099999999999</v>
      </c>
      <c r="CP59" s="71">
        <v>3314.400000000001</v>
      </c>
      <c r="CQ59" s="71">
        <v>5988.7000000000016</v>
      </c>
      <c r="CR59" s="71">
        <v>9467.700000000008</v>
      </c>
      <c r="CS59" s="71">
        <v>11751.1</v>
      </c>
      <c r="CT59" s="79">
        <v>0</v>
      </c>
      <c r="CU59" s="79">
        <v>0</v>
      </c>
      <c r="CV59" s="79">
        <v>0</v>
      </c>
      <c r="CW59" s="79">
        <v>46.600000000000009</v>
      </c>
      <c r="CX59" s="79">
        <v>390.20000000000005</v>
      </c>
      <c r="CY59" s="79">
        <v>580.90000000000009</v>
      </c>
      <c r="CZ59" s="79">
        <v>1656.0000000000005</v>
      </c>
      <c r="DA59" s="79">
        <v>1316.5999999999995</v>
      </c>
      <c r="DB59" s="79">
        <v>282.30000000000007</v>
      </c>
      <c r="DC59" s="79">
        <v>6</v>
      </c>
      <c r="DD59" s="79">
        <v>0</v>
      </c>
      <c r="DE59" s="79">
        <v>0</v>
      </c>
      <c r="DF59" s="87">
        <v>0</v>
      </c>
      <c r="DG59" s="87">
        <v>0</v>
      </c>
      <c r="DH59" s="87">
        <v>0</v>
      </c>
      <c r="DI59" s="87">
        <v>0</v>
      </c>
      <c r="DJ59" s="87">
        <v>4.6000000000000014</v>
      </c>
      <c r="DK59" s="87">
        <v>6.0000000000000107</v>
      </c>
      <c r="DL59" s="87">
        <v>163.19999999999999</v>
      </c>
      <c r="DM59" s="87">
        <v>92.6</v>
      </c>
      <c r="DN59" s="87">
        <v>7.1999999999999993</v>
      </c>
      <c r="DO59" s="87">
        <v>0</v>
      </c>
      <c r="DP59" s="87">
        <v>0</v>
      </c>
      <c r="DQ59" s="87">
        <v>0</v>
      </c>
      <c r="DR59" s="94">
        <v>17635.299999999992</v>
      </c>
      <c r="DS59" s="94">
        <v>15792.299999999997</v>
      </c>
      <c r="DT59" s="94">
        <v>15488.399999999994</v>
      </c>
      <c r="DU59" s="94">
        <v>12060.700000000003</v>
      </c>
      <c r="DV59" s="94">
        <v>9384.1999999999935</v>
      </c>
      <c r="DW59" s="94">
        <v>7023.8000000000093</v>
      </c>
      <c r="DX59" s="94">
        <v>4850.0999999999985</v>
      </c>
      <c r="DY59" s="94">
        <v>6040.1</v>
      </c>
      <c r="DZ59" s="94">
        <v>8079.3</v>
      </c>
      <c r="EA59" s="94">
        <v>11190.700000000006</v>
      </c>
      <c r="EB59" s="94">
        <v>14507.700000000013</v>
      </c>
      <c r="EC59" s="94">
        <v>16959.099999999991</v>
      </c>
      <c r="ED59" s="225"/>
      <c r="ES59" s="534">
        <v>18.8</v>
      </c>
      <c r="ET59" s="532">
        <v>13.8</v>
      </c>
      <c r="EU59" s="535">
        <v>29.5</v>
      </c>
      <c r="EV59" s="535">
        <v>21.7</v>
      </c>
      <c r="EW59" s="538">
        <v>7.6</v>
      </c>
      <c r="EX59" s="538">
        <v>5.6</v>
      </c>
    </row>
    <row r="60" spans="1:154" hidden="1">
      <c r="A60" s="66" t="s">
        <v>265</v>
      </c>
      <c r="B60" s="96">
        <v>6.508</v>
      </c>
      <c r="C60" s="97">
        <v>5.6738571428571429</v>
      </c>
      <c r="D60" s="97">
        <v>8.4509677419354841</v>
      </c>
      <c r="E60" s="97">
        <v>10.592000000000001</v>
      </c>
      <c r="F60" s="97">
        <v>14.465806451612902</v>
      </c>
      <c r="G60" s="97">
        <v>16.751600000000003</v>
      </c>
      <c r="H60" s="97">
        <v>18.968129032258062</v>
      </c>
      <c r="I60" s="97">
        <v>19.395741935483873</v>
      </c>
      <c r="J60" s="97">
        <v>16.7088</v>
      </c>
      <c r="K60" s="97">
        <v>12.933548387096772</v>
      </c>
      <c r="L60" s="97">
        <v>8.2500000000000036</v>
      </c>
      <c r="M60" s="100">
        <v>6.7765913978494616</v>
      </c>
      <c r="N60" s="105">
        <v>5.98</v>
      </c>
      <c r="O60" s="105">
        <v>7.15</v>
      </c>
      <c r="P60" s="105">
        <v>9.44</v>
      </c>
      <c r="Q60" s="105">
        <v>11.6</v>
      </c>
      <c r="R60" s="105">
        <v>15.68</v>
      </c>
      <c r="S60" s="105">
        <v>17.84</v>
      </c>
      <c r="T60" s="105">
        <v>18.43</v>
      </c>
      <c r="U60" s="105">
        <v>17.34</v>
      </c>
      <c r="V60" s="105">
        <v>14.82</v>
      </c>
      <c r="W60" s="105">
        <v>11.68</v>
      </c>
      <c r="X60" s="105">
        <v>8.58</v>
      </c>
      <c r="Y60" s="105">
        <v>6.54</v>
      </c>
      <c r="Z60" s="102">
        <v>970.32258064516134</v>
      </c>
      <c r="AA60" s="4">
        <v>1793.5</v>
      </c>
      <c r="AB60" s="4">
        <v>2534.7096774193546</v>
      </c>
      <c r="AC60" s="4">
        <v>3765.4</v>
      </c>
      <c r="AD60" s="4">
        <v>5239.677419354839</v>
      </c>
      <c r="AE60" s="4">
        <v>5758.9333333333334</v>
      </c>
      <c r="AF60" s="4">
        <v>5760.322580645161</v>
      </c>
      <c r="AG60" s="4">
        <v>4999.4838709677415</v>
      </c>
      <c r="AH60" s="4">
        <v>3486.6666666666665</v>
      </c>
      <c r="AI60" s="4">
        <v>2355.8709677419356</v>
      </c>
      <c r="AJ60" s="4">
        <v>1322.3666666666666</v>
      </c>
      <c r="AK60" s="23">
        <v>845.22580645161293</v>
      </c>
      <c r="AL60" s="29">
        <v>1777.9346706901824</v>
      </c>
      <c r="AM60" s="6">
        <v>2550.1430535120303</v>
      </c>
      <c r="AN60" s="6">
        <v>2413.7695492150178</v>
      </c>
      <c r="AO60" s="6">
        <v>2527.6911437838858</v>
      </c>
      <c r="AP60" s="6">
        <v>2742.9734219241836</v>
      </c>
      <c r="AQ60" s="6">
        <v>2703.8483841449024</v>
      </c>
      <c r="AR60" s="6">
        <v>2811.9906963415792</v>
      </c>
      <c r="AS60" s="6">
        <v>3020.7250122499395</v>
      </c>
      <c r="AT60" s="6">
        <v>2983.6600894191884</v>
      </c>
      <c r="AU60" s="6">
        <v>3118.6106915622586</v>
      </c>
      <c r="AV60" s="6">
        <v>2435.6290843866659</v>
      </c>
      <c r="AW60" s="30">
        <v>1734.2189573869211</v>
      </c>
      <c r="AX60" s="39">
        <v>1391.5602232393594</v>
      </c>
      <c r="AY60" s="8">
        <v>2120.9138261132885</v>
      </c>
      <c r="AZ60" s="8">
        <v>2272.1597640277955</v>
      </c>
      <c r="BA60" s="8">
        <v>2741.0154214633521</v>
      </c>
      <c r="BB60" s="8">
        <v>3267.5899140185679</v>
      </c>
      <c r="BC60" s="8">
        <v>3314.7951155361179</v>
      </c>
      <c r="BD60" s="8">
        <v>3436.1967375765903</v>
      </c>
      <c r="BE60" s="8">
        <v>3466.6752069824829</v>
      </c>
      <c r="BF60" s="8">
        <v>2980.8625683907949</v>
      </c>
      <c r="BG60" s="8">
        <v>2666.4550429286096</v>
      </c>
      <c r="BH60" s="8">
        <v>1912.9919645079513</v>
      </c>
      <c r="BI60" s="40">
        <v>1333.9809365144652</v>
      </c>
      <c r="BJ60" s="49">
        <v>794.11428180120322</v>
      </c>
      <c r="BK60" s="10">
        <v>1409.296470979649</v>
      </c>
      <c r="BL60" s="10">
        <v>1833.5959348370309</v>
      </c>
      <c r="BM60" s="10">
        <v>2580.5833616358314</v>
      </c>
      <c r="BN60" s="10">
        <v>3471.4427770232005</v>
      </c>
      <c r="BO60" s="10">
        <v>3739.0010371552767</v>
      </c>
      <c r="BP60" s="10">
        <v>3786.2151746979671</v>
      </c>
      <c r="BQ60" s="10">
        <v>3426.4354160915254</v>
      </c>
      <c r="BR60" s="10">
        <v>2519.9243787158766</v>
      </c>
      <c r="BS60" s="10">
        <v>1846.5469085058837</v>
      </c>
      <c r="BT60" s="10">
        <v>1102.2389471282675</v>
      </c>
      <c r="BU60" s="50">
        <v>711.26387145115632</v>
      </c>
      <c r="BV60" s="57">
        <v>363.92253143786672</v>
      </c>
      <c r="BW60" s="12">
        <v>616.47154841229406</v>
      </c>
      <c r="BX60" s="12">
        <v>908.11385405033673</v>
      </c>
      <c r="BY60" s="12">
        <v>1305.6355044432898</v>
      </c>
      <c r="BZ60" s="12">
        <v>1672.0968708497833</v>
      </c>
      <c r="CA60" s="12">
        <v>1819.753840586143</v>
      </c>
      <c r="CB60" s="12">
        <v>1764.4179189738861</v>
      </c>
      <c r="CC60" s="12">
        <v>1508.2230234367198</v>
      </c>
      <c r="CD60" s="12">
        <v>1112.5111289741233</v>
      </c>
      <c r="CE60" s="12">
        <v>744.40384061404336</v>
      </c>
      <c r="CF60" s="12">
        <v>449.54822840297948</v>
      </c>
      <c r="CG60" s="63">
        <v>314.55018529284365</v>
      </c>
      <c r="CH60" s="71">
        <v>9278.4000000000033</v>
      </c>
      <c r="CI60" s="71">
        <v>8921.6</v>
      </c>
      <c r="CJ60" s="71">
        <v>7795.800000000002</v>
      </c>
      <c r="CK60" s="71">
        <v>6017.3000000000038</v>
      </c>
      <c r="CL60" s="71">
        <v>3800.4999999999959</v>
      </c>
      <c r="CM60" s="71">
        <v>2197.6999999999962</v>
      </c>
      <c r="CN60" s="71">
        <v>1313.9000000000003</v>
      </c>
      <c r="CO60" s="71">
        <v>1109.7999999999984</v>
      </c>
      <c r="CP60" s="71">
        <v>2109.0999999999995</v>
      </c>
      <c r="CQ60" s="71">
        <v>4499.7000000000016</v>
      </c>
      <c r="CR60" s="71">
        <v>7705.1999999999944</v>
      </c>
      <c r="CS60" s="71">
        <v>9077.5999999999967</v>
      </c>
      <c r="CT60" s="79">
        <v>0</v>
      </c>
      <c r="CU60" s="79">
        <v>0</v>
      </c>
      <c r="CV60" s="79">
        <v>0</v>
      </c>
      <c r="CW60" s="79">
        <v>17.8</v>
      </c>
      <c r="CX60" s="79">
        <v>513.9</v>
      </c>
      <c r="CY60" s="79">
        <v>660.49999999999977</v>
      </c>
      <c r="CZ60" s="79">
        <v>1374.6000000000004</v>
      </c>
      <c r="DA60" s="79">
        <v>1488.0999999999997</v>
      </c>
      <c r="DB60" s="79">
        <v>524.10000000000014</v>
      </c>
      <c r="DC60" s="79">
        <v>47.5</v>
      </c>
      <c r="DD60" s="79">
        <v>0</v>
      </c>
      <c r="DE60" s="79">
        <v>0</v>
      </c>
      <c r="DF60" s="87">
        <v>0</v>
      </c>
      <c r="DG60" s="87">
        <v>0</v>
      </c>
      <c r="DH60" s="87">
        <v>0</v>
      </c>
      <c r="DI60" s="87">
        <v>0</v>
      </c>
      <c r="DJ60" s="87">
        <v>33.9</v>
      </c>
      <c r="DK60" s="87">
        <v>28.999999999999993</v>
      </c>
      <c r="DL60" s="87">
        <v>56.1</v>
      </c>
      <c r="DM60" s="87">
        <v>137</v>
      </c>
      <c r="DN60" s="87">
        <v>30.2</v>
      </c>
      <c r="DO60" s="87">
        <v>0</v>
      </c>
      <c r="DP60" s="87">
        <v>0</v>
      </c>
      <c r="DQ60" s="87">
        <v>0</v>
      </c>
      <c r="DR60" s="94">
        <v>14486.400000000001</v>
      </c>
      <c r="DS60" s="94">
        <v>13625.600000000008</v>
      </c>
      <c r="DT60" s="94">
        <v>13003.799999999996</v>
      </c>
      <c r="DU60" s="94">
        <v>11039.499999999993</v>
      </c>
      <c r="DV60" s="94">
        <v>8528.5000000000018</v>
      </c>
      <c r="DW60" s="94">
        <v>6606.2000000000071</v>
      </c>
      <c r="DX60" s="94">
        <v>5203.3999999999978</v>
      </c>
      <c r="DY60" s="94">
        <v>4966.7000000000053</v>
      </c>
      <c r="DZ60" s="94">
        <v>6655.2000000000035</v>
      </c>
      <c r="EA60" s="94">
        <v>9660.2000000000025</v>
      </c>
      <c r="EB60" s="94">
        <v>12745.199999999992</v>
      </c>
      <c r="EC60" s="94">
        <v>14285.599999999991</v>
      </c>
      <c r="ED60" s="225"/>
      <c r="ES60" s="534">
        <v>18.8</v>
      </c>
      <c r="ET60" s="532">
        <v>13.8</v>
      </c>
      <c r="EU60" s="535">
        <v>29.5</v>
      </c>
      <c r="EV60" s="535">
        <v>21.7</v>
      </c>
      <c r="EW60" s="538">
        <v>7.6</v>
      </c>
      <c r="EX60" s="538">
        <v>5.6</v>
      </c>
    </row>
    <row r="61" spans="1:154" hidden="1">
      <c r="A61" s="66" t="s">
        <v>256</v>
      </c>
      <c r="B61" s="96">
        <v>3.8499354838709676</v>
      </c>
      <c r="C61" s="97">
        <v>4.1254285714285706</v>
      </c>
      <c r="D61" s="97">
        <v>6.9541935483870967</v>
      </c>
      <c r="E61" s="97">
        <v>9.9045333333333314</v>
      </c>
      <c r="F61" s="97">
        <v>14.244516129032259</v>
      </c>
      <c r="G61" s="97">
        <v>16.745066666666666</v>
      </c>
      <c r="H61" s="97">
        <v>19.303483870967739</v>
      </c>
      <c r="I61" s="97">
        <v>19.546193548387098</v>
      </c>
      <c r="J61" s="97">
        <v>15.645066666666663</v>
      </c>
      <c r="K61" s="97">
        <v>11.264774193548387</v>
      </c>
      <c r="L61" s="97">
        <v>6.4041333333333341</v>
      </c>
      <c r="M61" s="100">
        <v>4.4676881720430099</v>
      </c>
      <c r="N61" s="105">
        <v>3.98</v>
      </c>
      <c r="O61" s="105">
        <v>5.32</v>
      </c>
      <c r="P61" s="105">
        <v>7.94</v>
      </c>
      <c r="Q61" s="105">
        <v>10.41</v>
      </c>
      <c r="R61" s="105">
        <v>15.09</v>
      </c>
      <c r="S61" s="105">
        <v>17.559999999999999</v>
      </c>
      <c r="T61" s="105">
        <v>18.239999999999998</v>
      </c>
      <c r="U61" s="105">
        <v>16.989999999999998</v>
      </c>
      <c r="V61" s="105">
        <v>14.1</v>
      </c>
      <c r="W61" s="105">
        <v>10.5</v>
      </c>
      <c r="X61" s="105">
        <v>6.96</v>
      </c>
      <c r="Y61" s="105">
        <v>4.62</v>
      </c>
      <c r="Z61" s="102">
        <v>775.83870967741939</v>
      </c>
      <c r="AA61" s="4">
        <v>1391.9642857142858</v>
      </c>
      <c r="AB61" s="4">
        <v>2281.9032258064517</v>
      </c>
      <c r="AC61" s="4">
        <v>3629.6666666666665</v>
      </c>
      <c r="AD61" s="4">
        <v>4607.1290322580644</v>
      </c>
      <c r="AE61" s="4">
        <v>5310.9666666666662</v>
      </c>
      <c r="AF61" s="4">
        <v>5355.4193548387093</v>
      </c>
      <c r="AG61" s="4">
        <v>4864</v>
      </c>
      <c r="AH61" s="4">
        <v>3116.8333333333335</v>
      </c>
      <c r="AI61" s="4">
        <v>2030.7741935483871</v>
      </c>
      <c r="AJ61" s="4">
        <v>1041.7333333333333</v>
      </c>
      <c r="AK61" s="23">
        <v>607.09677419354841</v>
      </c>
      <c r="AL61" s="29">
        <v>1420.0961835530204</v>
      </c>
      <c r="AM61" s="6">
        <v>1904.5285862558994</v>
      </c>
      <c r="AN61" s="6">
        <v>2199.8948366596219</v>
      </c>
      <c r="AO61" s="6">
        <v>2498.6738037773453</v>
      </c>
      <c r="AP61" s="6">
        <v>2507.4020823951291</v>
      </c>
      <c r="AQ61" s="6">
        <v>2603.6544776722371</v>
      </c>
      <c r="AR61" s="6">
        <v>2719.3972020081692</v>
      </c>
      <c r="AS61" s="6">
        <v>3027.8923194942035</v>
      </c>
      <c r="AT61" s="6">
        <v>2701.477130337898</v>
      </c>
      <c r="AU61" s="6">
        <v>2704.7460390302626</v>
      </c>
      <c r="AV61" s="6">
        <v>1890.2363202459767</v>
      </c>
      <c r="AW61" s="30">
        <v>1187.1918784432039</v>
      </c>
      <c r="AX61" s="39">
        <v>1112.529568939952</v>
      </c>
      <c r="AY61" s="8">
        <v>1592.5146787067461</v>
      </c>
      <c r="AZ61" s="8">
        <v>2061.9758013471578</v>
      </c>
      <c r="BA61" s="8">
        <v>2687.9075084612077</v>
      </c>
      <c r="BB61" s="8">
        <v>2906.9042106654479</v>
      </c>
      <c r="BC61" s="8">
        <v>3109.144671806358</v>
      </c>
      <c r="BD61" s="8">
        <v>3246.4184147040492</v>
      </c>
      <c r="BE61" s="8">
        <v>3437.9382871728835</v>
      </c>
      <c r="BF61" s="8">
        <v>2680.8976916537595</v>
      </c>
      <c r="BG61" s="8">
        <v>2308.2610539703155</v>
      </c>
      <c r="BH61" s="8">
        <v>1488.2689188039853</v>
      </c>
      <c r="BI61" s="40">
        <v>919.96297587872436</v>
      </c>
      <c r="BJ61" s="49">
        <v>1112.529568939952</v>
      </c>
      <c r="BK61" s="10">
        <v>1592.5146787067461</v>
      </c>
      <c r="BL61" s="10">
        <v>2061.9758013471578</v>
      </c>
      <c r="BM61" s="10">
        <v>2687.9075084612077</v>
      </c>
      <c r="BN61" s="10">
        <v>2906.9042106654479</v>
      </c>
      <c r="BO61" s="10">
        <v>3109.144671806358</v>
      </c>
      <c r="BP61" s="10">
        <v>3246.4184147040492</v>
      </c>
      <c r="BQ61" s="10">
        <v>3437.9382871728835</v>
      </c>
      <c r="BR61" s="10">
        <v>2680.8976916537595</v>
      </c>
      <c r="BS61" s="10">
        <v>2308.2610539703155</v>
      </c>
      <c r="BT61" s="10">
        <v>1488.2689188039853</v>
      </c>
      <c r="BU61" s="50">
        <v>919.96297587872436</v>
      </c>
      <c r="BV61" s="57">
        <v>307.77277675627954</v>
      </c>
      <c r="BW61" s="12">
        <v>529.26344124698937</v>
      </c>
      <c r="BX61" s="12">
        <v>849.35337069016589</v>
      </c>
      <c r="BY61" s="12">
        <v>1275.4589796509576</v>
      </c>
      <c r="BZ61" s="12">
        <v>1603.2469271044054</v>
      </c>
      <c r="CA61" s="12">
        <v>1782.8822698453203</v>
      </c>
      <c r="CB61" s="12">
        <v>1733.3500700867726</v>
      </c>
      <c r="CC61" s="12">
        <v>1487.3478577034402</v>
      </c>
      <c r="CD61" s="12">
        <v>1052.5745539153199</v>
      </c>
      <c r="CE61" s="12">
        <v>682.70744960529134</v>
      </c>
      <c r="CF61" s="12">
        <v>384.02273886462251</v>
      </c>
      <c r="CG61" s="63">
        <v>248.16399135972324</v>
      </c>
      <c r="CH61" s="71">
        <v>11254.900000000007</v>
      </c>
      <c r="CI61" s="71">
        <v>9974.700000000008</v>
      </c>
      <c r="CJ61" s="71">
        <v>8928.0999999999985</v>
      </c>
      <c r="CK61" s="71">
        <v>6526.7999999999984</v>
      </c>
      <c r="CL61" s="71">
        <v>3748.5000000000005</v>
      </c>
      <c r="CM61" s="71">
        <v>2102.9999999999995</v>
      </c>
      <c r="CN61" s="71">
        <v>1155.4000000000001</v>
      </c>
      <c r="CO61" s="71">
        <v>1074.6999999999994</v>
      </c>
      <c r="CP61" s="71">
        <v>2674.9999999999982</v>
      </c>
      <c r="CQ61" s="71">
        <v>5744.5000000000073</v>
      </c>
      <c r="CR61" s="71">
        <v>9051.5999999999985</v>
      </c>
      <c r="CS61" s="71">
        <v>10792.9</v>
      </c>
      <c r="CT61" s="79">
        <v>0</v>
      </c>
      <c r="CU61" s="79">
        <v>0</v>
      </c>
      <c r="CV61" s="79">
        <v>0</v>
      </c>
      <c r="CW61" s="79">
        <v>27.599999999999998</v>
      </c>
      <c r="CX61" s="79">
        <v>273.10000000000008</v>
      </c>
      <c r="CY61" s="79">
        <v>536.59999999999991</v>
      </c>
      <c r="CZ61" s="79">
        <v>1460.6000000000006</v>
      </c>
      <c r="DA61" s="79">
        <v>1563.4999999999991</v>
      </c>
      <c r="DB61" s="79">
        <v>315.59999999999997</v>
      </c>
      <c r="DC61" s="79">
        <v>46.099999999999994</v>
      </c>
      <c r="DD61" s="79">
        <v>0</v>
      </c>
      <c r="DE61" s="79">
        <v>0</v>
      </c>
      <c r="DF61" s="87">
        <v>0</v>
      </c>
      <c r="DG61" s="87">
        <v>0</v>
      </c>
      <c r="DH61" s="87">
        <v>0</v>
      </c>
      <c r="DI61" s="87">
        <v>0</v>
      </c>
      <c r="DJ61" s="87">
        <v>0.30000000000000071</v>
      </c>
      <c r="DK61" s="87">
        <v>0</v>
      </c>
      <c r="DL61" s="87">
        <v>101.1</v>
      </c>
      <c r="DM61" s="87">
        <v>110</v>
      </c>
      <c r="DN61" s="87">
        <v>3.0999999999999979</v>
      </c>
      <c r="DO61" s="87">
        <v>0</v>
      </c>
      <c r="DP61" s="87">
        <v>0</v>
      </c>
      <c r="DQ61" s="87">
        <v>0</v>
      </c>
      <c r="DR61" s="94">
        <v>16462.900000000005</v>
      </c>
      <c r="DS61" s="94">
        <v>14678.700000000017</v>
      </c>
      <c r="DT61" s="94">
        <v>14136.100000000002</v>
      </c>
      <c r="DU61" s="94">
        <v>11539.200000000004</v>
      </c>
      <c r="DV61" s="94">
        <v>8683.6999999999898</v>
      </c>
      <c r="DW61" s="94">
        <v>6606.3999999999978</v>
      </c>
      <c r="DX61" s="94">
        <v>5003.9000000000015</v>
      </c>
      <c r="DY61" s="94">
        <v>4829.1999999999944</v>
      </c>
      <c r="DZ61" s="94">
        <v>7402.4999999999964</v>
      </c>
      <c r="EA61" s="94">
        <v>10906.400000000005</v>
      </c>
      <c r="EB61" s="94">
        <v>14091.599999999997</v>
      </c>
      <c r="EC61" s="94">
        <v>16000.900000000001</v>
      </c>
      <c r="ED61" s="225"/>
      <c r="ES61" s="534">
        <v>18.8</v>
      </c>
      <c r="ET61" s="532">
        <v>13.8</v>
      </c>
      <c r="EU61" s="535">
        <v>29.5</v>
      </c>
      <c r="EV61" s="535">
        <v>21.7</v>
      </c>
      <c r="EW61" s="538">
        <v>7.6</v>
      </c>
      <c r="EX61" s="538">
        <v>5.6</v>
      </c>
    </row>
    <row r="62" spans="1:154" hidden="1">
      <c r="A62" s="66" t="s">
        <v>266</v>
      </c>
      <c r="B62" s="96">
        <v>2.2157419354838712</v>
      </c>
      <c r="C62" s="97">
        <v>1.800428571428571</v>
      </c>
      <c r="D62" s="97">
        <v>5.820903225806453</v>
      </c>
      <c r="E62" s="97">
        <v>9.9401333333333319</v>
      </c>
      <c r="F62" s="97">
        <v>14.261935483870968</v>
      </c>
      <c r="G62" s="97">
        <v>17.315999999999995</v>
      </c>
      <c r="H62" s="97">
        <v>18.835225806451611</v>
      </c>
      <c r="I62" s="97">
        <v>19.085032258064519</v>
      </c>
      <c r="J62" s="97">
        <v>14.690799999999999</v>
      </c>
      <c r="K62" s="97">
        <v>10.730451612903225</v>
      </c>
      <c r="L62" s="97">
        <v>4.6586666666666661</v>
      </c>
      <c r="M62" s="100">
        <v>2.595462365591398</v>
      </c>
      <c r="N62" s="105">
        <v>5.79</v>
      </c>
      <c r="O62" s="105">
        <v>3.1</v>
      </c>
      <c r="P62" s="105">
        <v>2.36</v>
      </c>
      <c r="Q62" s="105">
        <v>3</v>
      </c>
      <c r="R62" s="105">
        <v>6.63</v>
      </c>
      <c r="S62" s="105">
        <v>10.7</v>
      </c>
      <c r="T62" s="105">
        <v>14.53</v>
      </c>
      <c r="U62" s="105">
        <v>17.3</v>
      </c>
      <c r="V62" s="105">
        <v>18.11</v>
      </c>
      <c r="W62" s="105">
        <v>16.809999999999999</v>
      </c>
      <c r="X62" s="105">
        <v>13.67</v>
      </c>
      <c r="Y62" s="105">
        <v>9.7200000000000006</v>
      </c>
      <c r="Z62" s="102">
        <v>774.90322580645159</v>
      </c>
      <c r="AA62" s="4">
        <v>1431.75</v>
      </c>
      <c r="AB62" s="4">
        <v>2753.0645161290322</v>
      </c>
      <c r="AC62" s="4">
        <v>3831.4666666666667</v>
      </c>
      <c r="AD62" s="4">
        <v>4624.9032258064517</v>
      </c>
      <c r="AE62" s="4">
        <v>5402.5</v>
      </c>
      <c r="AF62" s="4">
        <v>5471.7096774193551</v>
      </c>
      <c r="AG62" s="4">
        <v>4889.7419354838712</v>
      </c>
      <c r="AH62" s="4">
        <v>3302.1333333333332</v>
      </c>
      <c r="AI62" s="4">
        <v>1698.0645161290322</v>
      </c>
      <c r="AJ62" s="4">
        <v>929.6</v>
      </c>
      <c r="AK62" s="23">
        <v>658.70967741935488</v>
      </c>
      <c r="AL62" s="29">
        <v>1397.2040759029069</v>
      </c>
      <c r="AM62" s="6">
        <v>1966.8888563299452</v>
      </c>
      <c r="AN62" s="6">
        <v>2806.0199634043224</v>
      </c>
      <c r="AO62" s="6">
        <v>2644.3915346908498</v>
      </c>
      <c r="AP62" s="6">
        <v>2509.3236110113135</v>
      </c>
      <c r="AQ62" s="6">
        <v>2631.9648596923316</v>
      </c>
      <c r="AR62" s="6">
        <v>2760.7391298526541</v>
      </c>
      <c r="AS62" s="6">
        <v>3033.7706954069586</v>
      </c>
      <c r="AT62" s="6">
        <v>2890.2824740419192</v>
      </c>
      <c r="AU62" s="6">
        <v>2079.736852170257</v>
      </c>
      <c r="AV62" s="6">
        <v>1568.1363569282225</v>
      </c>
      <c r="AW62" s="30">
        <v>1327.4027461135561</v>
      </c>
      <c r="AX62" s="39">
        <v>1096.7333362541478</v>
      </c>
      <c r="AY62" s="8">
        <v>1643.7188557160584</v>
      </c>
      <c r="AZ62" s="8">
        <v>2615.3223539070495</v>
      </c>
      <c r="BA62" s="8">
        <v>2854.8303095929864</v>
      </c>
      <c r="BB62" s="8">
        <v>2913.2770530239045</v>
      </c>
      <c r="BC62" s="8">
        <v>3156.343036779318</v>
      </c>
      <c r="BD62" s="8">
        <v>3311.4016172209836</v>
      </c>
      <c r="BE62" s="8">
        <v>3449.3718672797718</v>
      </c>
      <c r="BF62" s="8">
        <v>2869.8416001540959</v>
      </c>
      <c r="BG62" s="8">
        <v>1796.9131799317156</v>
      </c>
      <c r="BH62" s="8">
        <v>1247.0677249059604</v>
      </c>
      <c r="BI62" s="40">
        <v>1024.541510484559</v>
      </c>
      <c r="BJ62" s="49">
        <v>630.58668033893264</v>
      </c>
      <c r="BK62" s="10">
        <v>1111.1593139340998</v>
      </c>
      <c r="BL62" s="10">
        <v>2055.6404999293345</v>
      </c>
      <c r="BM62" s="10">
        <v>2664.3535078802502</v>
      </c>
      <c r="BN62" s="10">
        <v>3061.8065896672911</v>
      </c>
      <c r="BO62" s="10">
        <v>3521.6798694548829</v>
      </c>
      <c r="BP62" s="10">
        <v>3615.9029904342988</v>
      </c>
      <c r="BQ62" s="10">
        <v>3385.3067312297403</v>
      </c>
      <c r="BR62" s="10">
        <v>2410.250484045248</v>
      </c>
      <c r="BS62" s="10">
        <v>1289.9679831709734</v>
      </c>
      <c r="BT62" s="10">
        <v>748.58247383501225</v>
      </c>
      <c r="BU62" s="50">
        <v>550.29554552977004</v>
      </c>
      <c r="BV62" s="57">
        <v>309.08036052266903</v>
      </c>
      <c r="BW62" s="12">
        <v>538.92920574509571</v>
      </c>
      <c r="BX62" s="12">
        <v>922.03523200897234</v>
      </c>
      <c r="BY62" s="12">
        <v>1302.9539262442158</v>
      </c>
      <c r="BZ62" s="12">
        <v>1605.7721052116729</v>
      </c>
      <c r="CA62" s="12">
        <v>1791.6104939821262</v>
      </c>
      <c r="CB62" s="12">
        <v>1743.12626541602</v>
      </c>
      <c r="CC62" s="12">
        <v>1490.5018352663437</v>
      </c>
      <c r="CD62" s="12">
        <v>1076.2130578932361</v>
      </c>
      <c r="CE62" s="12">
        <v>632.63815801539045</v>
      </c>
      <c r="CF62" s="12">
        <v>363.1335884909567</v>
      </c>
      <c r="CG62" s="63">
        <v>262.04848221077822</v>
      </c>
      <c r="CH62" s="71">
        <v>12458.100000000009</v>
      </c>
      <c r="CI62" s="71">
        <v>11537.100000000006</v>
      </c>
      <c r="CJ62" s="71">
        <v>9752.1</v>
      </c>
      <c r="CK62" s="71">
        <v>6529.2999999999965</v>
      </c>
      <c r="CL62" s="71">
        <v>3762.6999999999966</v>
      </c>
      <c r="CM62" s="71">
        <v>1914.2000000000016</v>
      </c>
      <c r="CN62" s="71">
        <v>1259.200000000001</v>
      </c>
      <c r="CO62" s="71">
        <v>1536.3000000000004</v>
      </c>
      <c r="CP62" s="71">
        <v>3296.3999999999992</v>
      </c>
      <c r="CQ62" s="71">
        <v>6109.9999999999973</v>
      </c>
      <c r="CR62" s="71">
        <v>10298.099999999999</v>
      </c>
      <c r="CS62" s="71">
        <v>12183.7</v>
      </c>
      <c r="CT62" s="79">
        <v>0</v>
      </c>
      <c r="CU62" s="79">
        <v>0</v>
      </c>
      <c r="CV62" s="79">
        <v>0</v>
      </c>
      <c r="CW62" s="79">
        <v>86.2</v>
      </c>
      <c r="CX62" s="79">
        <v>309.7</v>
      </c>
      <c r="CY62" s="79">
        <v>790.99999999999966</v>
      </c>
      <c r="CZ62" s="79">
        <v>1220.1000000000004</v>
      </c>
      <c r="DA62" s="79">
        <v>1713.7999999999997</v>
      </c>
      <c r="DB62" s="79">
        <v>278.20000000000005</v>
      </c>
      <c r="DC62" s="79">
        <v>2.6000000000000014</v>
      </c>
      <c r="DD62" s="79">
        <v>0</v>
      </c>
      <c r="DE62" s="79">
        <v>0</v>
      </c>
      <c r="DF62" s="87">
        <v>0</v>
      </c>
      <c r="DG62" s="87">
        <v>0</v>
      </c>
      <c r="DH62" s="87">
        <v>0</v>
      </c>
      <c r="DI62" s="87">
        <v>0</v>
      </c>
      <c r="DJ62" s="87">
        <v>10.400000000000002</v>
      </c>
      <c r="DK62" s="87">
        <v>31.000000000000007</v>
      </c>
      <c r="DL62" s="87">
        <v>48.5</v>
      </c>
      <c r="DM62" s="87">
        <v>239</v>
      </c>
      <c r="DN62" s="87">
        <v>0</v>
      </c>
      <c r="DO62" s="87">
        <v>0</v>
      </c>
      <c r="DP62" s="87">
        <v>0</v>
      </c>
      <c r="DQ62" s="87">
        <v>0</v>
      </c>
      <c r="DR62" s="94">
        <v>17666.100000000002</v>
      </c>
      <c r="DS62" s="94">
        <v>16241.099999999995</v>
      </c>
      <c r="DT62" s="94">
        <v>14960.099999999999</v>
      </c>
      <c r="DU62" s="94">
        <v>11483.100000000008</v>
      </c>
      <c r="DV62" s="94">
        <v>8671.4000000000033</v>
      </c>
      <c r="DW62" s="94">
        <v>6194.1999999999944</v>
      </c>
      <c r="DX62" s="94">
        <v>5295.5999999999976</v>
      </c>
      <c r="DY62" s="94">
        <v>5269.5</v>
      </c>
      <c r="DZ62" s="94">
        <v>8058.2000000000025</v>
      </c>
      <c r="EA62" s="94">
        <v>11315.399999999996</v>
      </c>
      <c r="EB62" s="94">
        <v>15338.099999999991</v>
      </c>
      <c r="EC62" s="94">
        <v>17391.699999999997</v>
      </c>
      <c r="ED62" s="225"/>
      <c r="ES62" s="534">
        <v>18.8</v>
      </c>
      <c r="ET62" s="532">
        <v>13.8</v>
      </c>
      <c r="EU62" s="535">
        <v>29.5</v>
      </c>
      <c r="EV62" s="535">
        <v>21.7</v>
      </c>
      <c r="EW62" s="538">
        <v>7.6</v>
      </c>
      <c r="EX62" s="538">
        <v>5.6</v>
      </c>
    </row>
    <row r="63" spans="1:154" hidden="1">
      <c r="A63" s="66"/>
      <c r="B63" s="96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00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2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23"/>
      <c r="AL63" s="29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30"/>
      <c r="AX63" s="39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40"/>
      <c r="BJ63" s="49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50"/>
      <c r="BV63" s="57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63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225"/>
      <c r="ES63" s="532"/>
      <c r="ET63" s="532"/>
      <c r="EU63" s="535"/>
      <c r="EV63" s="535"/>
      <c r="EW63" s="538"/>
      <c r="EX63" s="538"/>
    </row>
    <row r="64" spans="1:154" hidden="1">
      <c r="A64" s="66" t="s">
        <v>200</v>
      </c>
      <c r="B64" s="96">
        <v>-5.8322580645161076E-2</v>
      </c>
      <c r="C64" s="97">
        <v>1.6205714285714288</v>
      </c>
      <c r="D64" s="97">
        <v>5.8236129032258068</v>
      </c>
      <c r="E64" s="97">
        <v>11.931866666666668</v>
      </c>
      <c r="F64" s="97">
        <v>17.320516129032256</v>
      </c>
      <c r="G64" s="97">
        <v>20.182933333333331</v>
      </c>
      <c r="H64" s="97">
        <v>21.499354838709678</v>
      </c>
      <c r="I64" s="97">
        <v>21.461677419354839</v>
      </c>
      <c r="J64" s="97">
        <v>17.591600000000003</v>
      </c>
      <c r="K64" s="97">
        <v>12.181677419354841</v>
      </c>
      <c r="L64" s="97">
        <v>5.3355999999999995</v>
      </c>
      <c r="M64" s="100">
        <v>1.2397956989247312</v>
      </c>
      <c r="N64" s="105">
        <v>1.67</v>
      </c>
      <c r="O64" s="105">
        <v>3.51</v>
      </c>
      <c r="P64" s="105">
        <v>7.1</v>
      </c>
      <c r="Q64" s="105">
        <v>10.5</v>
      </c>
      <c r="R64" s="105">
        <v>16.920000000000002</v>
      </c>
      <c r="S64" s="105">
        <v>20.309999999999999</v>
      </c>
      <c r="T64" s="105">
        <v>21.24</v>
      </c>
      <c r="U64" s="105">
        <v>19.52</v>
      </c>
      <c r="V64" s="105">
        <v>15.56</v>
      </c>
      <c r="W64" s="105">
        <v>10.62</v>
      </c>
      <c r="X64" s="105">
        <v>5.76</v>
      </c>
      <c r="Y64" s="105">
        <v>2.54</v>
      </c>
      <c r="Z64" s="102">
        <v>1221.2258064516129</v>
      </c>
      <c r="AA64" s="4">
        <v>2044.1785714285713</v>
      </c>
      <c r="AB64" s="4">
        <v>3425.7096774193546</v>
      </c>
      <c r="AC64" s="4">
        <v>4393.8666666666668</v>
      </c>
      <c r="AD64" s="4">
        <v>5654.7741935483873</v>
      </c>
      <c r="AE64" s="4">
        <v>6172.0333333333338</v>
      </c>
      <c r="AF64" s="4">
        <v>6313.8709677419356</v>
      </c>
      <c r="AG64" s="4">
        <v>5581.5161290322585</v>
      </c>
      <c r="AH64" s="4">
        <v>4003.2666666666669</v>
      </c>
      <c r="AI64" s="4">
        <v>2813.9354838709678</v>
      </c>
      <c r="AJ64" s="4">
        <v>1568.5</v>
      </c>
      <c r="AK64" s="23">
        <v>993.90322580645159</v>
      </c>
      <c r="AL64" s="29">
        <v>2141.9376638910248</v>
      </c>
      <c r="AM64" s="6">
        <v>2758.4198396527245</v>
      </c>
      <c r="AN64" s="6">
        <v>3331.677573313063</v>
      </c>
      <c r="AO64" s="6">
        <v>2852.8581387387512</v>
      </c>
      <c r="AP64" s="6">
        <v>2806.7604894369829</v>
      </c>
      <c r="AQ64" s="6">
        <v>2725.8905968730955</v>
      </c>
      <c r="AR64" s="6">
        <v>2888.9107448678051</v>
      </c>
      <c r="AS64" s="6">
        <v>3210.4984596829131</v>
      </c>
      <c r="AT64" s="6">
        <v>3325.6250623445117</v>
      </c>
      <c r="AU64" s="6">
        <v>3627.4523544885474</v>
      </c>
      <c r="AV64" s="6">
        <v>2710.2229756847032</v>
      </c>
      <c r="AW64" s="30">
        <v>1849.3529171500563</v>
      </c>
      <c r="AX64" s="39">
        <v>1684.5350892586123</v>
      </c>
      <c r="AY64" s="8">
        <v>2313.8151935528354</v>
      </c>
      <c r="AZ64" s="8">
        <v>3147.122335988036</v>
      </c>
      <c r="BA64" s="8">
        <v>3158.1390089390943</v>
      </c>
      <c r="BB64" s="8">
        <v>3439.8027144009193</v>
      </c>
      <c r="BC64" s="8">
        <v>3458.4812402071652</v>
      </c>
      <c r="BD64" s="8">
        <v>3664.5516932368723</v>
      </c>
      <c r="BE64" s="8">
        <v>3782.7155689222491</v>
      </c>
      <c r="BF64" s="8">
        <v>3362.5463288820997</v>
      </c>
      <c r="BG64" s="8">
        <v>3118.6425143214483</v>
      </c>
      <c r="BH64" s="8">
        <v>2145.5862031817956</v>
      </c>
      <c r="BI64" s="40">
        <v>1437.9995520609948</v>
      </c>
      <c r="BJ64" s="49">
        <v>980.29654934397774</v>
      </c>
      <c r="BK64" s="10">
        <v>1568.2589927627064</v>
      </c>
      <c r="BL64" s="10">
        <v>2505.054605600129</v>
      </c>
      <c r="BM64" s="10">
        <v>2997.1384854645198</v>
      </c>
      <c r="BN64" s="10">
        <v>3708.4652967074157</v>
      </c>
      <c r="BO64" s="10">
        <v>3968.6316680719369</v>
      </c>
      <c r="BP64" s="10">
        <v>4112.3035475144488</v>
      </c>
      <c r="BQ64" s="10">
        <v>3788.1737766806309</v>
      </c>
      <c r="BR64" s="10">
        <v>2863.5154909258436</v>
      </c>
      <c r="BS64" s="10">
        <v>2175.3016248538179</v>
      </c>
      <c r="BT64" s="10">
        <v>1270.1394931592517</v>
      </c>
      <c r="BU64" s="50">
        <v>803.63578994461591</v>
      </c>
      <c r="BV64" s="57">
        <v>436.31967053478172</v>
      </c>
      <c r="BW64" s="12">
        <v>684.09048671047151</v>
      </c>
      <c r="BX64" s="12">
        <v>1044.0606825234324</v>
      </c>
      <c r="BY64" s="12">
        <v>1394.2982112899488</v>
      </c>
      <c r="BZ64" s="12">
        <v>1707.9687436788029</v>
      </c>
      <c r="CA64" s="12">
        <v>1841.9271060948881</v>
      </c>
      <c r="CB64" s="12">
        <v>1792.0800657143811</v>
      </c>
      <c r="CC64" s="12">
        <v>1554.2241669039477</v>
      </c>
      <c r="CD64" s="12">
        <v>1186.178022583839</v>
      </c>
      <c r="CE64" s="12">
        <v>824.18614426612658</v>
      </c>
      <c r="CF64" s="12">
        <v>516.71266019224925</v>
      </c>
      <c r="CG64" s="63">
        <v>367.86519723519052</v>
      </c>
      <c r="CH64" s="71">
        <v>14148.999999999998</v>
      </c>
      <c r="CI64" s="71">
        <v>11652.70000000001</v>
      </c>
      <c r="CJ64" s="71">
        <v>9743.3000000000011</v>
      </c>
      <c r="CK64" s="71">
        <v>5319.4999999999991</v>
      </c>
      <c r="CL64" s="71">
        <v>2480.8000000000006</v>
      </c>
      <c r="CM64" s="71">
        <v>1076.2</v>
      </c>
      <c r="CN64" s="71">
        <v>660.29999999999984</v>
      </c>
      <c r="CO64" s="71">
        <v>733.8</v>
      </c>
      <c r="CP64" s="71">
        <v>2009.2999999999993</v>
      </c>
      <c r="CQ64" s="71">
        <v>5310.1000000000022</v>
      </c>
      <c r="CR64" s="71">
        <v>9784.7999999999938</v>
      </c>
      <c r="CS64" s="71">
        <v>13194.200000000003</v>
      </c>
      <c r="CT64" s="79">
        <v>0</v>
      </c>
      <c r="CU64" s="79">
        <v>0</v>
      </c>
      <c r="CV64" s="79">
        <v>7</v>
      </c>
      <c r="CW64" s="79">
        <v>304.7000000000001</v>
      </c>
      <c r="CX64" s="79">
        <v>1336.0000000000005</v>
      </c>
      <c r="CY64" s="79">
        <v>2027.5</v>
      </c>
      <c r="CZ64" s="79">
        <v>2634.800000000002</v>
      </c>
      <c r="DA64" s="79">
        <v>2683.3999999999996</v>
      </c>
      <c r="DB64" s="79">
        <v>1084.4000000000001</v>
      </c>
      <c r="DC64" s="79">
        <v>322.39999999999998</v>
      </c>
      <c r="DD64" s="79">
        <v>0</v>
      </c>
      <c r="DE64" s="79">
        <v>0</v>
      </c>
      <c r="DF64" s="87">
        <v>0</v>
      </c>
      <c r="DG64" s="87">
        <v>0</v>
      </c>
      <c r="DH64" s="87">
        <v>0</v>
      </c>
      <c r="DI64" s="87">
        <v>2.2000000000000028</v>
      </c>
      <c r="DJ64" s="87">
        <v>152.19999999999999</v>
      </c>
      <c r="DK64" s="87">
        <v>317.89999999999986</v>
      </c>
      <c r="DL64" s="87">
        <v>464.49999999999994</v>
      </c>
      <c r="DM64" s="87">
        <v>476.80000000000007</v>
      </c>
      <c r="DN64" s="87">
        <v>97.299999999999983</v>
      </c>
      <c r="DO64" s="87">
        <v>30.700000000000006</v>
      </c>
      <c r="DP64" s="87">
        <v>0</v>
      </c>
      <c r="DQ64" s="87">
        <v>0</v>
      </c>
      <c r="DR64" s="94">
        <v>19356.999999999985</v>
      </c>
      <c r="DS64" s="94">
        <v>16356.699999999997</v>
      </c>
      <c r="DT64" s="94">
        <v>14944.300000000001</v>
      </c>
      <c r="DU64" s="94">
        <v>10057.000000000007</v>
      </c>
      <c r="DV64" s="94">
        <v>6505</v>
      </c>
      <c r="DW64" s="94">
        <v>4406.5999999999985</v>
      </c>
      <c r="DX64" s="94">
        <v>3697.9999999999986</v>
      </c>
      <c r="DY64" s="94">
        <v>3735.2</v>
      </c>
      <c r="DZ64" s="94">
        <v>6062.2</v>
      </c>
      <c r="EA64" s="94">
        <v>10226.399999999994</v>
      </c>
      <c r="EB64" s="94">
        <v>14824.799999999992</v>
      </c>
      <c r="EC64" s="94">
        <v>18402.200000000008</v>
      </c>
      <c r="ED64" s="225" t="s">
        <v>761</v>
      </c>
      <c r="ES64" s="534">
        <v>18.8</v>
      </c>
      <c r="ET64" s="532">
        <v>13.8</v>
      </c>
      <c r="EU64" s="535">
        <v>29.5</v>
      </c>
      <c r="EV64" s="535">
        <v>21.7</v>
      </c>
      <c r="EW64" s="538">
        <v>7.6</v>
      </c>
      <c r="EX64" s="538">
        <v>5.6</v>
      </c>
    </row>
    <row r="65" spans="1:154" hidden="1">
      <c r="A65" s="66" t="s">
        <v>205</v>
      </c>
      <c r="B65" s="96">
        <v>1.8508387096774195</v>
      </c>
      <c r="C65" s="97">
        <v>0.25871428571428573</v>
      </c>
      <c r="D65" s="97">
        <v>5.3694193548387075</v>
      </c>
      <c r="E65" s="97">
        <v>8.2433333333333323</v>
      </c>
      <c r="F65" s="97">
        <v>13.896774193548389</v>
      </c>
      <c r="G65" s="97">
        <v>17.474133333333331</v>
      </c>
      <c r="H65" s="97">
        <v>19.005935483870967</v>
      </c>
      <c r="I65" s="97">
        <v>18.383483870967744</v>
      </c>
      <c r="J65" s="97">
        <v>14.879733333333329</v>
      </c>
      <c r="K65" s="97">
        <v>10.179870967741932</v>
      </c>
      <c r="L65" s="97">
        <v>4.4046666666666674</v>
      </c>
      <c r="M65" s="100">
        <v>2.4226881720430113</v>
      </c>
      <c r="N65" s="105">
        <v>2.0699999999999998</v>
      </c>
      <c r="O65" s="105">
        <v>1.35</v>
      </c>
      <c r="P65" s="105">
        <v>2.79</v>
      </c>
      <c r="Q65" s="105">
        <v>6.09</v>
      </c>
      <c r="R65" s="105">
        <v>10.39</v>
      </c>
      <c r="S65" s="105">
        <v>14.52</v>
      </c>
      <c r="T65" s="105">
        <v>17.36</v>
      </c>
      <c r="U65" s="105">
        <v>18.149999999999999</v>
      </c>
      <c r="V65" s="105">
        <v>16.649999999999999</v>
      </c>
      <c r="W65" s="105">
        <v>13.29</v>
      </c>
      <c r="X65" s="105">
        <v>8.98</v>
      </c>
      <c r="Y65" s="105">
        <v>4.88</v>
      </c>
      <c r="Z65" s="102">
        <v>530.16129032258061</v>
      </c>
      <c r="AA65" s="4">
        <v>1181.7142857142858</v>
      </c>
      <c r="AB65" s="4">
        <v>1928.8709677419354</v>
      </c>
      <c r="AC65" s="4">
        <v>3838.7666666666669</v>
      </c>
      <c r="AD65" s="4">
        <v>4842.7419354838712</v>
      </c>
      <c r="AE65" s="4">
        <v>5039.6000000000004</v>
      </c>
      <c r="AF65" s="4">
        <v>5109.0322580645161</v>
      </c>
      <c r="AG65" s="4">
        <v>4346.4193548387093</v>
      </c>
      <c r="AH65" s="4">
        <v>2741.7333333333331</v>
      </c>
      <c r="AI65" s="4">
        <v>1544.0967741935483</v>
      </c>
      <c r="AJ65" s="4">
        <v>795.43333333333328</v>
      </c>
      <c r="AK65" s="23">
        <v>405.93548387096774</v>
      </c>
      <c r="AL65" s="29">
        <v>1097.1628052724488</v>
      </c>
      <c r="AM65" s="6">
        <v>1839.2793534024916</v>
      </c>
      <c r="AN65" s="6">
        <v>1971.7805478400896</v>
      </c>
      <c r="AO65" s="6">
        <v>2866.4209011750622</v>
      </c>
      <c r="AP65" s="6">
        <v>2782.9583725595435</v>
      </c>
      <c r="AQ65" s="6">
        <v>2635.0880145070423</v>
      </c>
      <c r="AR65" s="6">
        <v>2768.9684664897204</v>
      </c>
      <c r="AS65" s="6">
        <v>2885.1582373889505</v>
      </c>
      <c r="AT65" s="6">
        <v>2534.2545361556731</v>
      </c>
      <c r="AU65" s="6">
        <v>2176.0956825143007</v>
      </c>
      <c r="AV65" s="6">
        <v>1683.9493343127992</v>
      </c>
      <c r="AW65" s="30">
        <v>930.70920334463256</v>
      </c>
      <c r="AX65" s="39">
        <v>847.90582471449227</v>
      </c>
      <c r="AY65" s="8">
        <v>1507.869358264307</v>
      </c>
      <c r="AZ65" s="8">
        <v>1825.5919130576615</v>
      </c>
      <c r="BA65" s="8">
        <v>3051.2583889609191</v>
      </c>
      <c r="BB65" s="8">
        <v>3188.2873956307176</v>
      </c>
      <c r="BC65" s="8">
        <v>3048.2508210499241</v>
      </c>
      <c r="BD65" s="8">
        <v>3210.3399956503304</v>
      </c>
      <c r="BE65" s="8">
        <v>3193.8982770299385</v>
      </c>
      <c r="BF65" s="8">
        <v>2479.525576582857</v>
      </c>
      <c r="BG65" s="8">
        <v>1838.6328660525171</v>
      </c>
      <c r="BH65" s="8">
        <v>1301.9144980366448</v>
      </c>
      <c r="BI65" s="40">
        <v>710.29153582669824</v>
      </c>
      <c r="BJ65" s="49">
        <v>455.71888488675791</v>
      </c>
      <c r="BK65" s="10">
        <v>969.89404171427179</v>
      </c>
      <c r="BL65" s="10">
        <v>1443.1811294684719</v>
      </c>
      <c r="BM65" s="10">
        <v>2784.4286209305114</v>
      </c>
      <c r="BN65" s="10">
        <v>3315.5257351991422</v>
      </c>
      <c r="BO65" s="10">
        <v>3348.9161791302563</v>
      </c>
      <c r="BP65" s="10">
        <v>3451.2517484933924</v>
      </c>
      <c r="BQ65" s="10">
        <v>3084.0417219835981</v>
      </c>
      <c r="BR65" s="10">
        <v>2053.190333870617</v>
      </c>
      <c r="BS65" s="10">
        <v>1250.8770767219094</v>
      </c>
      <c r="BT65" s="10">
        <v>705.55273082959854</v>
      </c>
      <c r="BU65" s="50">
        <v>355.99734117835709</v>
      </c>
      <c r="BV65" s="57">
        <v>219.14315594914365</v>
      </c>
      <c r="BW65" s="12">
        <v>448.34243354123373</v>
      </c>
      <c r="BX65" s="12">
        <v>746.08990540976572</v>
      </c>
      <c r="BY65" s="12">
        <v>1268.3238590107837</v>
      </c>
      <c r="BZ65" s="12">
        <v>1621.3820286997441</v>
      </c>
      <c r="CA65" s="12">
        <v>1760.4980098755698</v>
      </c>
      <c r="CB65" s="12">
        <v>1709.3805332025415</v>
      </c>
      <c r="CC65" s="12">
        <v>1416.2863410765431</v>
      </c>
      <c r="CD65" s="12">
        <v>960.13821207160959</v>
      </c>
      <c r="CE65" s="12">
        <v>560.59964291168797</v>
      </c>
      <c r="CF65" s="12">
        <v>297.49633030407551</v>
      </c>
      <c r="CG65" s="63">
        <v>170.81444850747937</v>
      </c>
      <c r="CH65" s="71">
        <v>12741.799999999985</v>
      </c>
      <c r="CI65" s="71">
        <v>12577.199999999986</v>
      </c>
      <c r="CJ65" s="71">
        <v>10105.69999999999</v>
      </c>
      <c r="CK65" s="71">
        <v>7688.9999999999982</v>
      </c>
      <c r="CL65" s="71">
        <v>4081.8000000000025</v>
      </c>
      <c r="CM65" s="71">
        <v>2116.1000000000017</v>
      </c>
      <c r="CN65" s="71">
        <v>1429.2</v>
      </c>
      <c r="CO65" s="71">
        <v>1477.8999999999996</v>
      </c>
      <c r="CP65" s="71">
        <v>3168.4000000000015</v>
      </c>
      <c r="CQ65" s="71">
        <v>6529.9999999999955</v>
      </c>
      <c r="CR65" s="71">
        <v>10488.8</v>
      </c>
      <c r="CS65" s="71">
        <v>12323.700000000004</v>
      </c>
      <c r="CT65" s="79">
        <v>0</v>
      </c>
      <c r="CU65" s="79">
        <v>0</v>
      </c>
      <c r="CV65" s="79">
        <v>0</v>
      </c>
      <c r="CW65" s="79">
        <v>0.90000000000000213</v>
      </c>
      <c r="CX65" s="79">
        <v>372</v>
      </c>
      <c r="CY65" s="79">
        <v>1089.2000000000003</v>
      </c>
      <c r="CZ65" s="79">
        <v>1499.2999999999997</v>
      </c>
      <c r="DA65" s="79">
        <v>1082.6000000000001</v>
      </c>
      <c r="DB65" s="79">
        <v>267.19999999999993</v>
      </c>
      <c r="DC65" s="79">
        <v>1.1000000000000014</v>
      </c>
      <c r="DD65" s="79">
        <v>0</v>
      </c>
      <c r="DE65" s="79">
        <v>0</v>
      </c>
      <c r="DF65" s="87">
        <v>0</v>
      </c>
      <c r="DG65" s="87">
        <v>0</v>
      </c>
      <c r="DH65" s="87">
        <v>0</v>
      </c>
      <c r="DI65" s="87">
        <v>0</v>
      </c>
      <c r="DJ65" s="87">
        <v>8.8999999999999986</v>
      </c>
      <c r="DK65" s="87">
        <v>219.00000000000009</v>
      </c>
      <c r="DL65" s="87">
        <v>185.69999999999993</v>
      </c>
      <c r="DM65" s="87">
        <v>63.5</v>
      </c>
      <c r="DN65" s="87">
        <v>13.200000000000003</v>
      </c>
      <c r="DO65" s="87">
        <v>0</v>
      </c>
      <c r="DP65" s="87">
        <v>0</v>
      </c>
      <c r="DQ65" s="87">
        <v>0</v>
      </c>
      <c r="DR65" s="94">
        <v>17949.79999999997</v>
      </c>
      <c r="DS65" s="94">
        <v>17281.199999999972</v>
      </c>
      <c r="DT65" s="94">
        <v>15313.699999999986</v>
      </c>
      <c r="DU65" s="94">
        <v>12728.099999999988</v>
      </c>
      <c r="DV65" s="94">
        <v>8926.6999999999953</v>
      </c>
      <c r="DW65" s="94">
        <v>6285.899999999996</v>
      </c>
      <c r="DX65" s="94">
        <v>5323.5999999999985</v>
      </c>
      <c r="DY65" s="94">
        <v>5666.8</v>
      </c>
      <c r="DZ65" s="94">
        <v>7954.4000000000033</v>
      </c>
      <c r="EA65" s="94">
        <v>11736.900000000005</v>
      </c>
      <c r="EB65" s="94">
        <v>15528.799999999997</v>
      </c>
      <c r="EC65" s="94">
        <v>17531.7</v>
      </c>
      <c r="ED65" s="225" t="s">
        <v>761</v>
      </c>
      <c r="ES65" s="534">
        <v>18.8</v>
      </c>
      <c r="ET65" s="532">
        <v>13.8</v>
      </c>
      <c r="EU65" s="535">
        <v>29.5</v>
      </c>
      <c r="EV65" s="535">
        <v>21.7</v>
      </c>
      <c r="EW65" s="538">
        <v>7.6</v>
      </c>
      <c r="EX65" s="538">
        <v>5.6</v>
      </c>
    </row>
    <row r="66" spans="1:154" hidden="1">
      <c r="A66" s="66" t="s">
        <v>199</v>
      </c>
      <c r="B66" s="96">
        <v>5.0145806451612893</v>
      </c>
      <c r="C66" s="97">
        <v>5.8444285714285718</v>
      </c>
      <c r="D66" s="97">
        <v>9.5730322580645169</v>
      </c>
      <c r="E66" s="97">
        <v>12.777066666666675</v>
      </c>
      <c r="F66" s="97">
        <v>17.029677419354837</v>
      </c>
      <c r="G66" s="97">
        <v>20.982933333333332</v>
      </c>
      <c r="H66" s="97">
        <v>23.671225806451606</v>
      </c>
      <c r="I66" s="97">
        <v>23.035999999999994</v>
      </c>
      <c r="J66" s="97">
        <v>19.708133333333326</v>
      </c>
      <c r="K66" s="97">
        <v>15.005290322580645</v>
      </c>
      <c r="L66" s="97">
        <v>10.796533333333333</v>
      </c>
      <c r="M66" s="100">
        <v>5.7210698924731185</v>
      </c>
      <c r="N66" s="105">
        <v>9.39</v>
      </c>
      <c r="O66" s="105">
        <v>6.49</v>
      </c>
      <c r="P66" s="105">
        <v>5.7</v>
      </c>
      <c r="Q66" s="105">
        <v>6.38</v>
      </c>
      <c r="R66" s="105">
        <v>10.3</v>
      </c>
      <c r="S66" s="105">
        <v>14.69</v>
      </c>
      <c r="T66" s="105">
        <v>18.809999999999999</v>
      </c>
      <c r="U66" s="105">
        <v>21.8</v>
      </c>
      <c r="V66" s="105">
        <v>22.68</v>
      </c>
      <c r="W66" s="105">
        <v>21.27</v>
      </c>
      <c r="X66" s="105">
        <v>17.89</v>
      </c>
      <c r="Y66" s="105">
        <v>13.63</v>
      </c>
      <c r="Z66" s="102">
        <v>936</v>
      </c>
      <c r="AA66" s="4">
        <v>1404.1785714285713</v>
      </c>
      <c r="AB66" s="4">
        <v>2696.2903225806454</v>
      </c>
      <c r="AC66" s="4">
        <v>3767.9666666666667</v>
      </c>
      <c r="AD66" s="4">
        <v>5081.322580645161</v>
      </c>
      <c r="AE66" s="4">
        <v>5507.5</v>
      </c>
      <c r="AF66" s="4">
        <v>5725.7096774193551</v>
      </c>
      <c r="AG66" s="4">
        <v>4723.0322580645161</v>
      </c>
      <c r="AH66" s="4">
        <v>3515.7</v>
      </c>
      <c r="AI66" s="4">
        <v>2185.6129032258063</v>
      </c>
      <c r="AJ66" s="4">
        <v>1207.7</v>
      </c>
      <c r="AK66" s="23">
        <v>779.45161290322585</v>
      </c>
      <c r="AL66" s="29">
        <v>1345.7169708613676</v>
      </c>
      <c r="AM66" s="6">
        <v>1551.157369530154</v>
      </c>
      <c r="AN66" s="6">
        <v>2383.9222461879899</v>
      </c>
      <c r="AO66" s="6">
        <v>2381.1881454369282</v>
      </c>
      <c r="AP66" s="6">
        <v>2522.6266482901688</v>
      </c>
      <c r="AQ66" s="6">
        <v>2468.013053065783</v>
      </c>
      <c r="AR66" s="6">
        <v>2631.8070202789613</v>
      </c>
      <c r="AS66" s="6">
        <v>2680.4700298151533</v>
      </c>
      <c r="AT66" s="6">
        <v>2774.9601060096957</v>
      </c>
      <c r="AU66" s="6">
        <v>2461.354528107961</v>
      </c>
      <c r="AV66" s="6">
        <v>1734.7896435319499</v>
      </c>
      <c r="AW66" s="30">
        <v>1186.800445036677</v>
      </c>
      <c r="AX66" s="39">
        <v>1090.6878254516987</v>
      </c>
      <c r="AY66" s="8">
        <v>1345.8222601772388</v>
      </c>
      <c r="AZ66" s="8">
        <v>2278.7823614321483</v>
      </c>
      <c r="BA66" s="8">
        <v>2619.2431663019806</v>
      </c>
      <c r="BB66" s="8">
        <v>3054.6520913748891</v>
      </c>
      <c r="BC66" s="8">
        <v>3076.3304979208174</v>
      </c>
      <c r="BD66" s="8">
        <v>3296.1966960454852</v>
      </c>
      <c r="BE66" s="8">
        <v>3114.8364877151121</v>
      </c>
      <c r="BF66" s="8">
        <v>2817.5814739776974</v>
      </c>
      <c r="BG66" s="8">
        <v>2161.2185057408319</v>
      </c>
      <c r="BH66" s="8">
        <v>1411.9503825879719</v>
      </c>
      <c r="BI66" s="40">
        <v>950.05132096106649</v>
      </c>
      <c r="BJ66" s="49">
        <v>698.60533145293766</v>
      </c>
      <c r="BK66" s="10">
        <v>999.60718137304173</v>
      </c>
      <c r="BL66" s="10">
        <v>1888.8682413305537</v>
      </c>
      <c r="BM66" s="10">
        <v>2513.9543903832405</v>
      </c>
      <c r="BN66" s="10">
        <v>3288.6004890157706</v>
      </c>
      <c r="BO66" s="10">
        <v>3501.5296899092091</v>
      </c>
      <c r="BP66" s="10">
        <v>3685.0415096728102</v>
      </c>
      <c r="BQ66" s="10">
        <v>3136.255411255258</v>
      </c>
      <c r="BR66" s="10">
        <v>2449.8420692140016</v>
      </c>
      <c r="BS66" s="10">
        <v>1598.7125062949096</v>
      </c>
      <c r="BT66" s="10">
        <v>911.35920997840753</v>
      </c>
      <c r="BU66" s="50">
        <v>586.12727396304456</v>
      </c>
      <c r="BV66" s="57">
        <v>386.64805271561818</v>
      </c>
      <c r="BW66" s="12">
        <v>577.5419668241309</v>
      </c>
      <c r="BX66" s="12">
        <v>969.93014311471029</v>
      </c>
      <c r="BY66" s="12">
        <v>1329.9471303843859</v>
      </c>
      <c r="BZ66" s="12">
        <v>1664.3840062584977</v>
      </c>
      <c r="CA66" s="12">
        <v>1792.2975042399833</v>
      </c>
      <c r="CB66" s="12">
        <v>1762.541295205179</v>
      </c>
      <c r="CC66" s="12">
        <v>1508.8419437246034</v>
      </c>
      <c r="CD66" s="12">
        <v>1155.5296704436678</v>
      </c>
      <c r="CE66" s="12">
        <v>769.76081677447996</v>
      </c>
      <c r="CF66" s="12">
        <v>468.08309987746998</v>
      </c>
      <c r="CG66" s="63">
        <v>328.18155426017842</v>
      </c>
      <c r="CH66" s="71">
        <v>10364.900000000001</v>
      </c>
      <c r="CI66" s="71">
        <v>8787.0999999999931</v>
      </c>
      <c r="CJ66" s="71">
        <v>6980.2999999999975</v>
      </c>
      <c r="CK66" s="71">
        <v>4582.9999999999936</v>
      </c>
      <c r="CL66" s="71">
        <v>2285.0999999999995</v>
      </c>
      <c r="CM66" s="71">
        <v>697.70000000000061</v>
      </c>
      <c r="CN66" s="71">
        <v>275.39999999999998</v>
      </c>
      <c r="CO66" s="71">
        <v>374.3</v>
      </c>
      <c r="CP66" s="71">
        <v>968.3000000000003</v>
      </c>
      <c r="CQ66" s="71">
        <v>3363.6000000000004</v>
      </c>
      <c r="CR66" s="71">
        <v>5886.9999999999991</v>
      </c>
      <c r="CS66" s="71">
        <v>9840.0999999999913</v>
      </c>
      <c r="CT66" s="79">
        <v>0</v>
      </c>
      <c r="CU66" s="79">
        <v>0</v>
      </c>
      <c r="CV66" s="79">
        <v>28.200000000000003</v>
      </c>
      <c r="CW66" s="79">
        <v>172.60000000000005</v>
      </c>
      <c r="CX66" s="79">
        <v>905.9000000000002</v>
      </c>
      <c r="CY66" s="79">
        <v>2230.5000000000014</v>
      </c>
      <c r="CZ66" s="79">
        <v>3871.1999999999962</v>
      </c>
      <c r="DA66" s="79">
        <v>3475.1999999999966</v>
      </c>
      <c r="DB66" s="79">
        <v>1551.3999999999999</v>
      </c>
      <c r="DC66" s="79">
        <v>452.49999999999994</v>
      </c>
      <c r="DD66" s="79">
        <v>11</v>
      </c>
      <c r="DE66" s="79">
        <v>0</v>
      </c>
      <c r="DF66" s="87">
        <v>0</v>
      </c>
      <c r="DG66" s="87">
        <v>0</v>
      </c>
      <c r="DH66" s="87">
        <v>0</v>
      </c>
      <c r="DI66" s="87">
        <v>0</v>
      </c>
      <c r="DJ66" s="87">
        <v>65.600000000000009</v>
      </c>
      <c r="DK66" s="87">
        <v>339.9000000000002</v>
      </c>
      <c r="DL66" s="87">
        <v>974.40000000000043</v>
      </c>
      <c r="DM66" s="87">
        <v>711.30000000000018</v>
      </c>
      <c r="DN66" s="87">
        <v>88.200000000000017</v>
      </c>
      <c r="DO66" s="87">
        <v>5.1000000000000014</v>
      </c>
      <c r="DP66" s="87">
        <v>0</v>
      </c>
      <c r="DQ66" s="87">
        <v>0</v>
      </c>
      <c r="DR66" s="94">
        <v>15572.900000000003</v>
      </c>
      <c r="DS66" s="94">
        <v>13491.100000000006</v>
      </c>
      <c r="DT66" s="94">
        <v>12160.099999999988</v>
      </c>
      <c r="DU66" s="94">
        <v>9450.399999999996</v>
      </c>
      <c r="DV66" s="94">
        <v>6652.7999999999929</v>
      </c>
      <c r="DW66" s="94">
        <v>3847.0999999999967</v>
      </c>
      <c r="DX66" s="94">
        <v>2586.5999999999976</v>
      </c>
      <c r="DY66" s="94">
        <v>2818.4</v>
      </c>
      <c r="DZ66" s="94">
        <v>4545.1000000000031</v>
      </c>
      <c r="EA66" s="94">
        <v>8124.2000000000007</v>
      </c>
      <c r="EB66" s="94">
        <v>10915.999999999991</v>
      </c>
      <c r="EC66" s="94">
        <v>15048.100000000008</v>
      </c>
      <c r="ED66" s="225" t="s">
        <v>761</v>
      </c>
      <c r="ES66" s="534">
        <v>18.8</v>
      </c>
      <c r="ET66" s="532">
        <v>13.8</v>
      </c>
      <c r="EU66" s="535">
        <v>29.5</v>
      </c>
      <c r="EV66" s="535">
        <v>21.7</v>
      </c>
      <c r="EW66" s="538">
        <v>7.6</v>
      </c>
      <c r="EX66" s="538">
        <v>5.6</v>
      </c>
    </row>
    <row r="67" spans="1:154" hidden="1">
      <c r="A67" s="66" t="s">
        <v>207</v>
      </c>
      <c r="B67" s="96">
        <v>5.734838709677418</v>
      </c>
      <c r="C67" s="97">
        <v>4.8484285714285713</v>
      </c>
      <c r="D67" s="97">
        <v>7.2072258064516115</v>
      </c>
      <c r="E67" s="97">
        <v>12.141600000000002</v>
      </c>
      <c r="F67" s="97">
        <v>16.699096774193549</v>
      </c>
      <c r="G67" s="97">
        <v>21.522399999999994</v>
      </c>
      <c r="H67" s="97">
        <v>24.000387096774187</v>
      </c>
      <c r="I67" s="97">
        <v>24.150838709677412</v>
      </c>
      <c r="J67" s="97">
        <v>20.723200000000002</v>
      </c>
      <c r="K67" s="97">
        <v>16.379225806451615</v>
      </c>
      <c r="L67" s="97">
        <v>11.350933333333334</v>
      </c>
      <c r="M67" s="100">
        <v>7.8357204301075258</v>
      </c>
      <c r="N67" s="105">
        <v>9.49</v>
      </c>
      <c r="O67" s="105">
        <v>6.49</v>
      </c>
      <c r="P67" s="105">
        <v>5.68</v>
      </c>
      <c r="Q67" s="105">
        <v>6.39</v>
      </c>
      <c r="R67" s="105">
        <v>10.43</v>
      </c>
      <c r="S67" s="105">
        <v>14.95</v>
      </c>
      <c r="T67" s="105">
        <v>19.21</v>
      </c>
      <c r="U67" s="105">
        <v>22.3</v>
      </c>
      <c r="V67" s="105">
        <v>23.2</v>
      </c>
      <c r="W67" s="105">
        <v>21.75</v>
      </c>
      <c r="X67" s="105">
        <v>18.260000000000002</v>
      </c>
      <c r="Y67" s="105">
        <v>13.86</v>
      </c>
      <c r="Z67" s="102">
        <v>1523</v>
      </c>
      <c r="AA67" s="4">
        <v>2047.5357142857142</v>
      </c>
      <c r="AB67" s="4">
        <v>3006.5483870967741</v>
      </c>
      <c r="AC67" s="4">
        <v>4386</v>
      </c>
      <c r="AD67" s="4">
        <v>5576.322580645161</v>
      </c>
      <c r="AE67" s="4">
        <v>6518.7</v>
      </c>
      <c r="AF67" s="4">
        <v>6559.9032258064517</v>
      </c>
      <c r="AG67" s="4">
        <v>5693.4193548387093</v>
      </c>
      <c r="AH67" s="4">
        <v>4544.1000000000004</v>
      </c>
      <c r="AI67" s="4">
        <v>2862.1935483870966</v>
      </c>
      <c r="AJ67" s="4">
        <v>1775.6</v>
      </c>
      <c r="AK67" s="23">
        <v>1223.8064516129032</v>
      </c>
      <c r="AL67" s="29">
        <v>2367.0394927698999</v>
      </c>
      <c r="AM67" s="6">
        <v>2363.9928399527998</v>
      </c>
      <c r="AN67" s="6">
        <v>2544.2683937746328</v>
      </c>
      <c r="AO67" s="6">
        <v>2642.3470527889308</v>
      </c>
      <c r="AP67" s="6">
        <v>2580.8263283140045</v>
      </c>
      <c r="AQ67" s="6">
        <v>2612.3578800215382</v>
      </c>
      <c r="AR67" s="6">
        <v>2735.6000709835394</v>
      </c>
      <c r="AS67" s="6">
        <v>3013.4958791657568</v>
      </c>
      <c r="AT67" s="6">
        <v>3505.7081369938146</v>
      </c>
      <c r="AU67" s="6">
        <v>3216.857461491642</v>
      </c>
      <c r="AV67" s="6">
        <v>2636.5892865580745</v>
      </c>
      <c r="AW67" s="30">
        <v>1963.4525884373043</v>
      </c>
      <c r="AX67" s="39">
        <v>1891.5743491866151</v>
      </c>
      <c r="AY67" s="8">
        <v>2036.8079078401981</v>
      </c>
      <c r="AZ67" s="8">
        <v>2461.9986212709823</v>
      </c>
      <c r="BA67" s="8">
        <v>2985.7716060733387</v>
      </c>
      <c r="BB67" s="8">
        <v>3249.5335172398786</v>
      </c>
      <c r="BC67" s="8">
        <v>3491.7463299550709</v>
      </c>
      <c r="BD67" s="8">
        <v>3636.1393424976091</v>
      </c>
      <c r="BE67" s="8">
        <v>3661.1157001195897</v>
      </c>
      <c r="BF67" s="8">
        <v>3628.3688132664183</v>
      </c>
      <c r="BG67" s="8">
        <v>2832.6167131697898</v>
      </c>
      <c r="BH67" s="8">
        <v>2132.4556492329302</v>
      </c>
      <c r="BI67" s="40">
        <v>1555.5595707199711</v>
      </c>
      <c r="BJ67" s="49">
        <v>1162.7964178045145</v>
      </c>
      <c r="BK67" s="10">
        <v>1475.509208566202</v>
      </c>
      <c r="BL67" s="10">
        <v>2071.1242754788918</v>
      </c>
      <c r="BM67" s="10">
        <v>2903.5657398832427</v>
      </c>
      <c r="BN67" s="10">
        <v>3571.0027770679167</v>
      </c>
      <c r="BO67" s="10">
        <v>4116.0459464556898</v>
      </c>
      <c r="BP67" s="10">
        <v>4184.3656144406586</v>
      </c>
      <c r="BQ67" s="10">
        <v>3757.5505735654319</v>
      </c>
      <c r="BR67" s="10">
        <v>3162.8597441789857</v>
      </c>
      <c r="BS67" s="10">
        <v>2086.8932565775131</v>
      </c>
      <c r="BT67" s="10">
        <v>1349.8645167357311</v>
      </c>
      <c r="BU67" s="50">
        <v>933.25033426009418</v>
      </c>
      <c r="BV67" s="57">
        <v>534.34822929478969</v>
      </c>
      <c r="BW67" s="12">
        <v>735.2253826323564</v>
      </c>
      <c r="BX67" s="12">
        <v>1046.6943026509377</v>
      </c>
      <c r="BY67" s="12">
        <v>1424.2624623588265</v>
      </c>
      <c r="BZ67" s="12">
        <v>1709.9706540014904</v>
      </c>
      <c r="CA67" s="12">
        <v>1848.255104037881</v>
      </c>
      <c r="CB67" s="12">
        <v>1798.5269395492771</v>
      </c>
      <c r="CC67" s="12">
        <v>1586.1280383681897</v>
      </c>
      <c r="CD67" s="12">
        <v>1269.7306814987082</v>
      </c>
      <c r="CE67" s="12">
        <v>893.07951888216905</v>
      </c>
      <c r="CF67" s="12">
        <v>600.26800406853158</v>
      </c>
      <c r="CG67" s="63">
        <v>453.57425752349491</v>
      </c>
      <c r="CH67" s="71">
        <v>9855.5999999999949</v>
      </c>
      <c r="CI67" s="71">
        <v>9490.1999999999953</v>
      </c>
      <c r="CJ67" s="71">
        <v>8751.2000000000007</v>
      </c>
      <c r="CK67" s="71">
        <v>4991</v>
      </c>
      <c r="CL67" s="71">
        <v>2202.8000000000011</v>
      </c>
      <c r="CM67" s="71">
        <v>228.79999999999993</v>
      </c>
      <c r="CN67" s="71">
        <v>10.700000000000003</v>
      </c>
      <c r="CO67" s="71">
        <v>1.0000000000000036</v>
      </c>
      <c r="CP67" s="71">
        <v>348.90000000000015</v>
      </c>
      <c r="CQ67" s="71">
        <v>2219.9999999999986</v>
      </c>
      <c r="CR67" s="71">
        <v>5500.699999999998</v>
      </c>
      <c r="CS67" s="71">
        <v>8283.6000000000022</v>
      </c>
      <c r="CT67" s="79">
        <v>0</v>
      </c>
      <c r="CU67" s="79">
        <v>0</v>
      </c>
      <c r="CV67" s="79">
        <v>11.399999999999999</v>
      </c>
      <c r="CW67" s="79">
        <v>101.49999999999997</v>
      </c>
      <c r="CX67" s="79">
        <v>545.49999999999989</v>
      </c>
      <c r="CY67" s="79">
        <v>2107.1</v>
      </c>
      <c r="CZ67" s="79">
        <v>3801.199999999998</v>
      </c>
      <c r="DA67" s="79">
        <v>3897.4999999999995</v>
      </c>
      <c r="DB67" s="79">
        <v>1655.5000000000002</v>
      </c>
      <c r="DC67" s="79">
        <v>332.6</v>
      </c>
      <c r="DD67" s="79">
        <v>20.800000000000004</v>
      </c>
      <c r="DE67" s="79">
        <v>0</v>
      </c>
      <c r="DF67" s="87">
        <v>0</v>
      </c>
      <c r="DG67" s="87">
        <v>0</v>
      </c>
      <c r="DH67" s="87">
        <v>0</v>
      </c>
      <c r="DI67" s="87">
        <v>0</v>
      </c>
      <c r="DJ67" s="87">
        <v>14.599999999999998</v>
      </c>
      <c r="DK67" s="87">
        <v>116.10000000000002</v>
      </c>
      <c r="DL67" s="87">
        <v>359.30000000000007</v>
      </c>
      <c r="DM67" s="87">
        <v>353.20000000000027</v>
      </c>
      <c r="DN67" s="87">
        <v>56.099999999999994</v>
      </c>
      <c r="DO67" s="87">
        <v>0</v>
      </c>
      <c r="DP67" s="87">
        <v>0</v>
      </c>
      <c r="DQ67" s="87">
        <v>0</v>
      </c>
      <c r="DR67" s="94">
        <v>15063.600000000002</v>
      </c>
      <c r="DS67" s="94">
        <v>14194.19999999999</v>
      </c>
      <c r="DT67" s="94">
        <v>13947.8</v>
      </c>
      <c r="DU67" s="94">
        <v>9929.5000000000018</v>
      </c>
      <c r="DV67" s="94">
        <v>6879.8999999999924</v>
      </c>
      <c r="DW67" s="94">
        <v>3277.799999999997</v>
      </c>
      <c r="DX67" s="94">
        <v>1776.8000000000002</v>
      </c>
      <c r="DY67" s="94">
        <v>1664.7</v>
      </c>
      <c r="DZ67" s="94">
        <v>3789.5000000000014</v>
      </c>
      <c r="EA67" s="94">
        <v>7095.4000000000024</v>
      </c>
      <c r="EB67" s="94">
        <v>10519.900000000007</v>
      </c>
      <c r="EC67" s="94">
        <v>13491.600000000013</v>
      </c>
      <c r="ED67" s="225" t="s">
        <v>761</v>
      </c>
      <c r="ES67" s="534">
        <v>18.8</v>
      </c>
      <c r="ET67" s="532">
        <v>13.8</v>
      </c>
      <c r="EU67" s="535">
        <v>29.5</v>
      </c>
      <c r="EV67" s="535">
        <v>21.7</v>
      </c>
      <c r="EW67" s="538">
        <v>7.6</v>
      </c>
      <c r="EX67" s="538">
        <v>5.6</v>
      </c>
    </row>
    <row r="68" spans="1:154" hidden="1">
      <c r="A68" s="345" t="s">
        <v>252</v>
      </c>
      <c r="B68" s="96">
        <v>-1.6845161290322583</v>
      </c>
      <c r="C68" s="97">
        <v>-1.9205714285714284</v>
      </c>
      <c r="D68" s="97">
        <v>3.0944516129032253</v>
      </c>
      <c r="E68" s="97">
        <v>8.0521333333333338</v>
      </c>
      <c r="F68" s="97">
        <v>13.143225806451609</v>
      </c>
      <c r="G68" s="97">
        <v>16.27386666666666</v>
      </c>
      <c r="H68" s="97">
        <v>17.739225806451614</v>
      </c>
      <c r="I68" s="97">
        <v>17.268774193548388</v>
      </c>
      <c r="J68" s="97">
        <v>13.765733333333335</v>
      </c>
      <c r="K68" s="97">
        <v>7.7571612903225811</v>
      </c>
      <c r="L68" s="97">
        <v>3.8817333333333339</v>
      </c>
      <c r="M68" s="100">
        <v>-0.75631182795698937</v>
      </c>
      <c r="N68" s="105">
        <v>3.08</v>
      </c>
      <c r="O68" s="105">
        <v>0.03</v>
      </c>
      <c r="P68" s="105">
        <v>-0.8</v>
      </c>
      <c r="Q68" s="105">
        <v>-0.08</v>
      </c>
      <c r="R68" s="105">
        <v>4.04</v>
      </c>
      <c r="S68" s="105">
        <v>8.66</v>
      </c>
      <c r="T68" s="105">
        <v>13.01</v>
      </c>
      <c r="U68" s="105">
        <v>16.149999999999999</v>
      </c>
      <c r="V68" s="105">
        <v>17.07</v>
      </c>
      <c r="W68" s="105">
        <v>15.59</v>
      </c>
      <c r="X68" s="105">
        <v>12.03</v>
      </c>
      <c r="Y68" s="105">
        <v>7.55</v>
      </c>
      <c r="Z68" s="102">
        <v>757.0322580645161</v>
      </c>
      <c r="AA68" s="4">
        <v>1336.9642857142858</v>
      </c>
      <c r="AB68" s="4">
        <v>2719.2258064516127</v>
      </c>
      <c r="AC68" s="4">
        <v>3419.4</v>
      </c>
      <c r="AD68" s="4">
        <v>4817.0645161290322</v>
      </c>
      <c r="AE68" s="4">
        <v>5186.2333333333336</v>
      </c>
      <c r="AF68" s="4">
        <v>5038.6451612903229</v>
      </c>
      <c r="AG68" s="4">
        <v>4199.1290322580644</v>
      </c>
      <c r="AH68" s="4">
        <v>2792.8666666666668</v>
      </c>
      <c r="AI68" s="4">
        <v>1742.3870967741937</v>
      </c>
      <c r="AJ68" s="4">
        <v>771.06666666666672</v>
      </c>
      <c r="AK68" s="23">
        <v>599.32258064516134</v>
      </c>
      <c r="AL68" s="29">
        <v>1531.4360924674718</v>
      </c>
      <c r="AM68" s="6">
        <v>1926.2997074444852</v>
      </c>
      <c r="AN68" s="6">
        <v>2900.7663624738752</v>
      </c>
      <c r="AO68" s="6">
        <v>2396.0840826457111</v>
      </c>
      <c r="AP68" s="6">
        <v>2667.0084795072066</v>
      </c>
      <c r="AQ68" s="6">
        <v>2607.1855449027653</v>
      </c>
      <c r="AR68" s="6">
        <v>2636.8907162562614</v>
      </c>
      <c r="AS68" s="6">
        <v>2664.7397203005935</v>
      </c>
      <c r="AT68" s="6">
        <v>2435.7082461805758</v>
      </c>
      <c r="AU68" s="6">
        <v>2308.972574336407</v>
      </c>
      <c r="AV68" s="6">
        <v>1315.4456991467557</v>
      </c>
      <c r="AW68" s="30">
        <v>1326.6475499005749</v>
      </c>
      <c r="AX68" s="39">
        <v>1185.217131599313</v>
      </c>
      <c r="AY68" s="8">
        <v>1597.7395224994375</v>
      </c>
      <c r="AZ68" s="8">
        <v>2683.0902104655784</v>
      </c>
      <c r="BA68" s="8">
        <v>2557.8329220469745</v>
      </c>
      <c r="BB68" s="8">
        <v>3089.2559112754502</v>
      </c>
      <c r="BC68" s="8">
        <v>3073.8306049879229</v>
      </c>
      <c r="BD68" s="8">
        <v>3092.5972947719438</v>
      </c>
      <c r="BE68" s="8">
        <v>2969.2021518528768</v>
      </c>
      <c r="BF68" s="8">
        <v>2405.2104873889416</v>
      </c>
      <c r="BG68" s="8">
        <v>1970.3285649323141</v>
      </c>
      <c r="BH68" s="8">
        <v>1044.8648026041192</v>
      </c>
      <c r="BI68" s="40">
        <v>1013.8896746978753</v>
      </c>
      <c r="BJ68" s="49">
        <v>645.66242992591617</v>
      </c>
      <c r="BK68" s="10">
        <v>1059.6516027093351</v>
      </c>
      <c r="BL68" s="10">
        <v>2075.6964796021257</v>
      </c>
      <c r="BM68" s="10">
        <v>2380.586984925812</v>
      </c>
      <c r="BN68" s="10">
        <v>3235.0583296398754</v>
      </c>
      <c r="BO68" s="10">
        <v>3402.191752996855</v>
      </c>
      <c r="BP68" s="10">
        <v>3341.8446882481294</v>
      </c>
      <c r="BQ68" s="10">
        <v>2899.3272319413281</v>
      </c>
      <c r="BR68" s="10">
        <v>2029.4008360298903</v>
      </c>
      <c r="BS68" s="10">
        <v>1370.4824115099409</v>
      </c>
      <c r="BT68" s="10">
        <v>624.13378736065863</v>
      </c>
      <c r="BU68" s="50">
        <v>519.94302111102775</v>
      </c>
      <c r="BV68" s="57">
        <v>291.63476390408329</v>
      </c>
      <c r="BW68" s="12">
        <v>504.15910363135271</v>
      </c>
      <c r="BX68" s="12">
        <v>897.20015409688369</v>
      </c>
      <c r="BY68" s="12">
        <v>1235.0212982890168</v>
      </c>
      <c r="BZ68" s="12">
        <v>1624.6316326943663</v>
      </c>
      <c r="CA68" s="12">
        <v>1772.2601519298851</v>
      </c>
      <c r="CB68" s="12">
        <v>1702.5521504556752</v>
      </c>
      <c r="CC68" s="12">
        <v>1417.2400629145395</v>
      </c>
      <c r="CD68" s="12">
        <v>993.51656556049988</v>
      </c>
      <c r="CE68" s="12">
        <v>622.53642670882959</v>
      </c>
      <c r="CF68" s="12">
        <v>313.46275037748904</v>
      </c>
      <c r="CG68" s="63">
        <v>235.88612634299341</v>
      </c>
      <c r="CH68" s="71">
        <v>15350.000000000004</v>
      </c>
      <c r="CI68" s="71">
        <v>14031.599999999997</v>
      </c>
      <c r="CJ68" s="71">
        <v>11766.700000000008</v>
      </c>
      <c r="CK68" s="71">
        <v>7878.3999999999969</v>
      </c>
      <c r="CL68" s="71">
        <v>4444.0000000000018</v>
      </c>
      <c r="CM68" s="71">
        <v>2529.0000000000032</v>
      </c>
      <c r="CN68" s="71">
        <v>1964.4000000000008</v>
      </c>
      <c r="CO68" s="71">
        <v>2335.7999999999988</v>
      </c>
      <c r="CP68" s="71">
        <v>3908.7000000000039</v>
      </c>
      <c r="CQ68" s="71">
        <v>8323.8999999999942</v>
      </c>
      <c r="CR68" s="71">
        <v>10865.200000000003</v>
      </c>
      <c r="CS68" s="71">
        <v>14674.999999999991</v>
      </c>
      <c r="CT68" s="79">
        <v>0</v>
      </c>
      <c r="CU68" s="79">
        <v>0</v>
      </c>
      <c r="CV68" s="79">
        <v>0</v>
      </c>
      <c r="CW68" s="79">
        <v>63.500000000000014</v>
      </c>
      <c r="CX68" s="79">
        <v>182.6</v>
      </c>
      <c r="CY68" s="79">
        <v>672.50000000000011</v>
      </c>
      <c r="CZ68" s="79">
        <v>1127.3</v>
      </c>
      <c r="DA68" s="79">
        <v>1158.8999999999999</v>
      </c>
      <c r="DB68" s="79">
        <v>215.50000000000006</v>
      </c>
      <c r="DC68" s="79">
        <v>24.1</v>
      </c>
      <c r="DD68" s="79">
        <v>0</v>
      </c>
      <c r="DE68" s="79">
        <v>0</v>
      </c>
      <c r="DF68" s="87">
        <v>0</v>
      </c>
      <c r="DG68" s="87">
        <v>0</v>
      </c>
      <c r="DH68" s="87">
        <v>0</v>
      </c>
      <c r="DI68" s="87">
        <v>0</v>
      </c>
      <c r="DJ68" s="87">
        <v>0</v>
      </c>
      <c r="DK68" s="87">
        <v>58.3</v>
      </c>
      <c r="DL68" s="87">
        <v>83.4</v>
      </c>
      <c r="DM68" s="87">
        <v>167.79999999999998</v>
      </c>
      <c r="DN68" s="87">
        <v>0</v>
      </c>
      <c r="DO68" s="87">
        <v>0</v>
      </c>
      <c r="DP68" s="87">
        <v>0</v>
      </c>
      <c r="DQ68" s="87">
        <v>0</v>
      </c>
      <c r="DR68" s="94">
        <v>20558</v>
      </c>
      <c r="DS68" s="94">
        <v>18735.600000000006</v>
      </c>
      <c r="DT68" s="94">
        <v>16974.700000000004</v>
      </c>
      <c r="DU68" s="94">
        <v>12854.899999999992</v>
      </c>
      <c r="DV68" s="94">
        <v>9469.4000000000015</v>
      </c>
      <c r="DW68" s="94">
        <v>6954.7999999999938</v>
      </c>
      <c r="DX68" s="94">
        <v>6128.4999999999982</v>
      </c>
      <c r="DY68" s="94">
        <v>6552.699999999998</v>
      </c>
      <c r="DZ68" s="94">
        <v>8733.1999999999989</v>
      </c>
      <c r="EA68" s="94">
        <v>13507.799999999996</v>
      </c>
      <c r="EB68" s="94">
        <v>15905.2</v>
      </c>
      <c r="EC68" s="94">
        <v>19883.000000000015</v>
      </c>
      <c r="ED68" s="225" t="s">
        <v>761</v>
      </c>
      <c r="ES68" s="534">
        <v>18.8</v>
      </c>
      <c r="ET68" s="532">
        <v>13.8</v>
      </c>
      <c r="EU68" s="535">
        <v>29.5</v>
      </c>
      <c r="EV68" s="535">
        <v>21.7</v>
      </c>
      <c r="EW68" s="538">
        <v>7.6</v>
      </c>
      <c r="EX68" s="538">
        <v>5.6</v>
      </c>
    </row>
    <row r="69" spans="1:154" hidden="1">
      <c r="A69" s="66" t="s">
        <v>204</v>
      </c>
      <c r="B69" s="96">
        <v>-1.2643870967741928</v>
      </c>
      <c r="C69" s="97">
        <v>-0.89857142857142869</v>
      </c>
      <c r="D69" s="97">
        <v>3.761290322580646</v>
      </c>
      <c r="E69" s="97">
        <v>9.3338666666666654</v>
      </c>
      <c r="F69" s="97">
        <v>13.865032258064517</v>
      </c>
      <c r="G69" s="97">
        <v>16.465866666666663</v>
      </c>
      <c r="H69" s="97">
        <v>20.213806451612907</v>
      </c>
      <c r="I69" s="97">
        <v>18.717935483870967</v>
      </c>
      <c r="J69" s="97">
        <v>14.756400000000001</v>
      </c>
      <c r="K69" s="97">
        <v>9.5381935483870972</v>
      </c>
      <c r="L69" s="97">
        <v>3.9372000000000003</v>
      </c>
      <c r="M69" s="100">
        <v>-6.5720430107527289E-2</v>
      </c>
      <c r="N69" s="105">
        <v>3.61</v>
      </c>
      <c r="O69" s="105">
        <v>0.28000000000000003</v>
      </c>
      <c r="P69" s="105">
        <v>-0.63</v>
      </c>
      <c r="Q69" s="105">
        <v>0.16</v>
      </c>
      <c r="R69" s="105">
        <v>4.66</v>
      </c>
      <c r="S69" s="105">
        <v>9.6999999999999993</v>
      </c>
      <c r="T69" s="105">
        <v>14.44</v>
      </c>
      <c r="U69" s="105">
        <v>17.88</v>
      </c>
      <c r="V69" s="105">
        <v>18.88</v>
      </c>
      <c r="W69" s="105">
        <v>17.27</v>
      </c>
      <c r="X69" s="105">
        <v>13.38</v>
      </c>
      <c r="Y69" s="105">
        <v>8.48</v>
      </c>
      <c r="Z69" s="102">
        <v>962.58064516129036</v>
      </c>
      <c r="AA69" s="4">
        <v>1588.7142857142858</v>
      </c>
      <c r="AB69" s="4">
        <v>2552.5806451612902</v>
      </c>
      <c r="AC69" s="4">
        <v>3682.7333333333331</v>
      </c>
      <c r="AD69" s="4">
        <v>4397</v>
      </c>
      <c r="AE69" s="4">
        <v>4914.1333333333332</v>
      </c>
      <c r="AF69" s="4">
        <v>5425.322580645161</v>
      </c>
      <c r="AG69" s="4">
        <v>4829.0645161290322</v>
      </c>
      <c r="AH69" s="4">
        <v>3108</v>
      </c>
      <c r="AI69" s="4">
        <v>2293.1290322580644</v>
      </c>
      <c r="AJ69" s="4">
        <v>963.2</v>
      </c>
      <c r="AK69" s="23">
        <v>615.87096774193549</v>
      </c>
      <c r="AL69" s="29">
        <v>1640.6451248933981</v>
      </c>
      <c r="AM69" s="6">
        <v>2046.8773804801788</v>
      </c>
      <c r="AN69" s="6">
        <v>2371.2597751415237</v>
      </c>
      <c r="AO69" s="6">
        <v>2425.409603032675</v>
      </c>
      <c r="AP69" s="6">
        <v>2317.3305861579197</v>
      </c>
      <c r="AQ69" s="6">
        <v>2357.4383921214717</v>
      </c>
      <c r="AR69" s="6">
        <v>2635.1411729625029</v>
      </c>
      <c r="AS69" s="6">
        <v>2865.1298141013158</v>
      </c>
      <c r="AT69" s="6">
        <v>2531.3851593408431</v>
      </c>
      <c r="AU69" s="6">
        <v>2886.0994958204919</v>
      </c>
      <c r="AV69" s="6">
        <v>1421.333412177426</v>
      </c>
      <c r="AW69" s="30">
        <v>982.42929762196582</v>
      </c>
      <c r="AX69" s="39">
        <v>1296.5160147215609</v>
      </c>
      <c r="AY69" s="8">
        <v>1728.823981863098</v>
      </c>
      <c r="AZ69" s="8">
        <v>2242.4595587106764</v>
      </c>
      <c r="BA69" s="8">
        <v>2636.5626964772555</v>
      </c>
      <c r="BB69" s="8">
        <v>2702.8443374709536</v>
      </c>
      <c r="BC69" s="8">
        <v>2821.447163241302</v>
      </c>
      <c r="BD69" s="8">
        <v>3206.2219060585394</v>
      </c>
      <c r="BE69" s="8">
        <v>3293.106319836339</v>
      </c>
      <c r="BF69" s="8">
        <v>2539.7355618360925</v>
      </c>
      <c r="BG69" s="8">
        <v>2487.2176027083215</v>
      </c>
      <c r="BH69" s="8">
        <v>1152.6161442482369</v>
      </c>
      <c r="BI69" s="40">
        <v>781.99031222608767</v>
      </c>
      <c r="BJ69" s="49">
        <v>765.411822281529</v>
      </c>
      <c r="BK69" s="10">
        <v>1199.1878051088506</v>
      </c>
      <c r="BL69" s="10">
        <v>1826.1749264981913</v>
      </c>
      <c r="BM69" s="10">
        <v>2498.0245030747865</v>
      </c>
      <c r="BN69" s="10">
        <v>2858.2396216421794</v>
      </c>
      <c r="BO69" s="10">
        <v>3143.6448665465664</v>
      </c>
      <c r="BP69" s="10">
        <v>3530.0368641901932</v>
      </c>
      <c r="BQ69" s="10">
        <v>3272.3400964547113</v>
      </c>
      <c r="BR69" s="10">
        <v>2189.3292941808631</v>
      </c>
      <c r="BS69" s="10">
        <v>1757.69559172444</v>
      </c>
      <c r="BT69" s="10">
        <v>735.90380709900887</v>
      </c>
      <c r="BU69" s="50">
        <v>471.33413862551976</v>
      </c>
      <c r="BV69" s="57">
        <v>371.82038685724496</v>
      </c>
      <c r="BW69" s="12">
        <v>594.11502018935187</v>
      </c>
      <c r="BX69" s="12">
        <v>921.32653666844419</v>
      </c>
      <c r="BY69" s="12">
        <v>1301.4152336456657</v>
      </c>
      <c r="BZ69" s="12">
        <v>1579.562284719088</v>
      </c>
      <c r="CA69" s="12">
        <v>1732.6966455726699</v>
      </c>
      <c r="CB69" s="12">
        <v>1739.7671438552609</v>
      </c>
      <c r="CC69" s="12">
        <v>1502.7930377696123</v>
      </c>
      <c r="CD69" s="12">
        <v>1078.8100210890782</v>
      </c>
      <c r="CE69" s="12">
        <v>751.92355715081612</v>
      </c>
      <c r="CF69" s="12">
        <v>391.17621249704149</v>
      </c>
      <c r="CG69" s="63">
        <v>267.17447869620702</v>
      </c>
      <c r="CH69" s="71">
        <v>15029.799999999987</v>
      </c>
      <c r="CI69" s="71">
        <v>13338.400000000011</v>
      </c>
      <c r="CJ69" s="71">
        <v>11271.200000000008</v>
      </c>
      <c r="CK69" s="71">
        <v>6984.4999999999964</v>
      </c>
      <c r="CL69" s="71">
        <v>4134.6000000000013</v>
      </c>
      <c r="CM69" s="71">
        <v>2585.5</v>
      </c>
      <c r="CN69" s="71">
        <v>1038.6999999999996</v>
      </c>
      <c r="CO69" s="71">
        <v>1955.8000000000002</v>
      </c>
      <c r="CP69" s="71">
        <v>3357.6000000000004</v>
      </c>
      <c r="CQ69" s="71">
        <v>7014.9000000000005</v>
      </c>
      <c r="CR69" s="71">
        <v>10799.199999999993</v>
      </c>
      <c r="CS69" s="71">
        <v>14159.999999999996</v>
      </c>
      <c r="CT69" s="79">
        <v>0</v>
      </c>
      <c r="CU69" s="79">
        <v>0</v>
      </c>
      <c r="CV69" s="79">
        <v>0</v>
      </c>
      <c r="CW69" s="79">
        <v>108.29999999999998</v>
      </c>
      <c r="CX69" s="79">
        <v>418</v>
      </c>
      <c r="CY69" s="79">
        <v>864.19999999999993</v>
      </c>
      <c r="CZ69" s="79">
        <v>2052.6</v>
      </c>
      <c r="DA69" s="79">
        <v>1874.8999999999994</v>
      </c>
      <c r="DB69" s="79">
        <v>377.49999999999989</v>
      </c>
      <c r="DC69" s="79">
        <v>54.199999999999996</v>
      </c>
      <c r="DD69" s="79">
        <v>0</v>
      </c>
      <c r="DE69" s="79">
        <v>0</v>
      </c>
      <c r="DF69" s="87">
        <v>0</v>
      </c>
      <c r="DG69" s="87">
        <v>0</v>
      </c>
      <c r="DH69" s="87">
        <v>0</v>
      </c>
      <c r="DI69" s="87">
        <v>0</v>
      </c>
      <c r="DJ69" s="87">
        <v>9.5</v>
      </c>
      <c r="DK69" s="87">
        <v>53.900000000000006</v>
      </c>
      <c r="DL69" s="87">
        <v>258.09999999999997</v>
      </c>
      <c r="DM69" s="87">
        <v>353.29999999999995</v>
      </c>
      <c r="DN69" s="87">
        <v>1</v>
      </c>
      <c r="DO69" s="87">
        <v>0</v>
      </c>
      <c r="DP69" s="87">
        <v>0</v>
      </c>
      <c r="DQ69" s="87">
        <v>0</v>
      </c>
      <c r="DR69" s="94">
        <v>20237.8</v>
      </c>
      <c r="DS69" s="94">
        <v>18042.400000000001</v>
      </c>
      <c r="DT69" s="94">
        <v>16479.2</v>
      </c>
      <c r="DU69" s="94">
        <v>11916.199999999997</v>
      </c>
      <c r="DV69" s="94">
        <v>8934.0999999999985</v>
      </c>
      <c r="DW69" s="94">
        <v>6815.2000000000025</v>
      </c>
      <c r="DX69" s="94">
        <v>4452.199999999998</v>
      </c>
      <c r="DY69" s="94">
        <v>5642.1999999999962</v>
      </c>
      <c r="DZ69" s="94">
        <v>8021.100000000004</v>
      </c>
      <c r="EA69" s="94">
        <v>12168.69999999999</v>
      </c>
      <c r="EB69" s="94">
        <v>15839.199999999993</v>
      </c>
      <c r="EC69" s="94">
        <v>19368.000000000007</v>
      </c>
      <c r="ED69" s="225" t="s">
        <v>761</v>
      </c>
      <c r="ES69" s="534">
        <v>18.8</v>
      </c>
      <c r="ET69" s="532">
        <v>13.8</v>
      </c>
      <c r="EU69" s="535">
        <v>29.5</v>
      </c>
      <c r="EV69" s="535">
        <v>21.7</v>
      </c>
      <c r="EW69" s="538">
        <v>7.6</v>
      </c>
      <c r="EX69" s="538">
        <v>5.6</v>
      </c>
    </row>
    <row r="70" spans="1:154" hidden="1">
      <c r="A70" s="66" t="s">
        <v>760</v>
      </c>
      <c r="B70" s="96">
        <v>0.20503225806451603</v>
      </c>
      <c r="C70" s="97">
        <v>2.0701428571428564</v>
      </c>
      <c r="D70" s="97">
        <v>7.3485161290322552</v>
      </c>
      <c r="E70" s="97">
        <v>10.831999999999999</v>
      </c>
      <c r="F70" s="97">
        <v>16.180774193548388</v>
      </c>
      <c r="G70" s="97">
        <v>19.59106666666667</v>
      </c>
      <c r="H70" s="97">
        <v>22.970838709677423</v>
      </c>
      <c r="I70" s="97">
        <v>22.124129032258061</v>
      </c>
      <c r="J70" s="97">
        <v>17.429466666666666</v>
      </c>
      <c r="K70" s="97">
        <v>12.365290322580645</v>
      </c>
      <c r="L70" s="97">
        <v>6.3438666666666679</v>
      </c>
      <c r="M70" s="100">
        <v>2.0878225806451622</v>
      </c>
      <c r="N70" s="105">
        <v>2.39</v>
      </c>
      <c r="O70" s="105">
        <v>1.46</v>
      </c>
      <c r="P70" s="105">
        <v>3.1</v>
      </c>
      <c r="Q70" s="105">
        <v>5.66</v>
      </c>
      <c r="R70" s="105">
        <v>12.35</v>
      </c>
      <c r="S70" s="105">
        <v>17.52</v>
      </c>
      <c r="T70" s="105">
        <v>21</v>
      </c>
      <c r="U70" s="105">
        <v>22.06</v>
      </c>
      <c r="V70" s="105">
        <v>20.260000000000002</v>
      </c>
      <c r="W70" s="105">
        <v>16.25</v>
      </c>
      <c r="X70" s="105">
        <v>10.89</v>
      </c>
      <c r="Y70" s="105">
        <v>5.91</v>
      </c>
      <c r="Z70" s="102">
        <v>1226.8064516129032</v>
      </c>
      <c r="AA70" s="4">
        <v>1869.5</v>
      </c>
      <c r="AB70" s="4">
        <v>3337.516129032258</v>
      </c>
      <c r="AC70" s="4">
        <v>3993.3</v>
      </c>
      <c r="AD70" s="4">
        <v>5607.1612903225805</v>
      </c>
      <c r="AE70" s="4">
        <v>5925.4333333333334</v>
      </c>
      <c r="AF70" s="4">
        <v>6826.677419354839</v>
      </c>
      <c r="AG70" s="4">
        <v>5277.9354838709678</v>
      </c>
      <c r="AH70" s="4">
        <v>3783.2</v>
      </c>
      <c r="AI70" s="4">
        <v>2185.9032258064517</v>
      </c>
      <c r="AJ70" s="4">
        <v>1315.6</v>
      </c>
      <c r="AK70" s="23">
        <v>978.35483870967744</v>
      </c>
      <c r="AL70" s="29">
        <v>2275.3842130759645</v>
      </c>
      <c r="AM70" s="6">
        <v>2516.7780304613912</v>
      </c>
      <c r="AN70" s="6">
        <v>3299.6394470294281</v>
      </c>
      <c r="AO70" s="6">
        <v>2616.752817585193</v>
      </c>
      <c r="AP70" s="6">
        <v>2828.7743560038471</v>
      </c>
      <c r="AQ70" s="6">
        <v>2687.0486266487965</v>
      </c>
      <c r="AR70" s="6">
        <v>3115.7760868602581</v>
      </c>
      <c r="AS70" s="6">
        <v>3091.0348266273895</v>
      </c>
      <c r="AT70" s="6">
        <v>3169.3718998278819</v>
      </c>
      <c r="AU70" s="6">
        <v>2635.5758028033392</v>
      </c>
      <c r="AV70" s="6">
        <v>2189.1214517779486</v>
      </c>
      <c r="AW70" s="30">
        <v>1917.3415923137345</v>
      </c>
      <c r="AX70" s="39">
        <v>1776.5325793829429</v>
      </c>
      <c r="AY70" s="8">
        <v>2111.4064910411021</v>
      </c>
      <c r="AZ70" s="8">
        <v>3105.3317688880811</v>
      </c>
      <c r="BA70" s="8">
        <v>2866.802349171428</v>
      </c>
      <c r="BB70" s="8">
        <v>3441.9152638775063</v>
      </c>
      <c r="BC70" s="8">
        <v>3354.8010001169459</v>
      </c>
      <c r="BD70" s="8">
        <v>3992.4298928176463</v>
      </c>
      <c r="BE70" s="8">
        <v>3599.8253768733798</v>
      </c>
      <c r="BF70" s="8">
        <v>3190.5900231226406</v>
      </c>
      <c r="BG70" s="8">
        <v>2286.8145799616232</v>
      </c>
      <c r="BH70" s="8">
        <v>1742.8213980255473</v>
      </c>
      <c r="BI70" s="40">
        <v>1481.5647685551996</v>
      </c>
      <c r="BJ70" s="49">
        <v>1007.4736426078637</v>
      </c>
      <c r="BK70" s="10">
        <v>1434.3916530571971</v>
      </c>
      <c r="BL70" s="10">
        <v>2458.3152711504968</v>
      </c>
      <c r="BM70" s="10">
        <v>2716.9816417103357</v>
      </c>
      <c r="BN70" s="10">
        <v>3694.6794178332639</v>
      </c>
      <c r="BO70" s="10">
        <v>3818.8727884773712</v>
      </c>
      <c r="BP70" s="10">
        <v>4493.2517739783725</v>
      </c>
      <c r="BQ70" s="10">
        <v>3588.0504954123371</v>
      </c>
      <c r="BR70" s="10">
        <v>2712.3955029687654</v>
      </c>
      <c r="BS70" s="10">
        <v>1645.3241119036336</v>
      </c>
      <c r="BT70" s="10">
        <v>1050.8085088331538</v>
      </c>
      <c r="BU70" s="50">
        <v>807.67199328865456</v>
      </c>
      <c r="BV70" s="57">
        <v>427.25218717095373</v>
      </c>
      <c r="BW70" s="12">
        <v>648.51463933619584</v>
      </c>
      <c r="BX70" s="12">
        <v>1024.5465042984747</v>
      </c>
      <c r="BY70" s="12">
        <v>1345.9714883118236</v>
      </c>
      <c r="BZ70" s="12">
        <v>1703.0320204659365</v>
      </c>
      <c r="CA70" s="12">
        <v>1828.7962769988756</v>
      </c>
      <c r="CB70" s="12">
        <v>1800.1846954405269</v>
      </c>
      <c r="CC70" s="12">
        <v>1535.7466449048709</v>
      </c>
      <c r="CD70" s="12">
        <v>1159.1304484673351</v>
      </c>
      <c r="CE70" s="12">
        <v>746.4627247780569</v>
      </c>
      <c r="CF70" s="12">
        <v>468.51192425574715</v>
      </c>
      <c r="CG70" s="63">
        <v>356.22039979709047</v>
      </c>
      <c r="CH70" s="71">
        <v>13907.199999999983</v>
      </c>
      <c r="CI70" s="71">
        <v>11319.399999999992</v>
      </c>
      <c r="CJ70" s="71">
        <v>8567.9999999999964</v>
      </c>
      <c r="CK70" s="71">
        <v>5849.8999999999942</v>
      </c>
      <c r="CL70" s="71">
        <v>2668.7000000000021</v>
      </c>
      <c r="CM70" s="71">
        <v>1171.1999999999996</v>
      </c>
      <c r="CN70" s="71">
        <v>244.6999999999999</v>
      </c>
      <c r="CO70" s="71">
        <v>220.19999999999993</v>
      </c>
      <c r="CP70" s="71">
        <v>2019.4999999999993</v>
      </c>
      <c r="CQ70" s="71">
        <v>4911.600000000004</v>
      </c>
      <c r="CR70" s="71">
        <v>9035.8000000000065</v>
      </c>
      <c r="CS70" s="71">
        <v>12515.700000000012</v>
      </c>
      <c r="CT70" s="79">
        <v>0</v>
      </c>
      <c r="CU70" s="79">
        <v>0</v>
      </c>
      <c r="CV70" s="79">
        <v>11.099999999999998</v>
      </c>
      <c r="CW70" s="79">
        <v>51.700000000000017</v>
      </c>
      <c r="CX70" s="79">
        <v>685.50000000000034</v>
      </c>
      <c r="CY70" s="79">
        <v>1700.600000000001</v>
      </c>
      <c r="CZ70" s="79">
        <v>3307.1000000000022</v>
      </c>
      <c r="DA70" s="79">
        <v>2631.3000000000025</v>
      </c>
      <c r="DB70" s="79">
        <v>1007.1000000000005</v>
      </c>
      <c r="DC70" s="79">
        <v>59.399999999999991</v>
      </c>
      <c r="DD70" s="79">
        <v>0</v>
      </c>
      <c r="DE70" s="79">
        <v>0</v>
      </c>
      <c r="DF70" s="87">
        <v>0</v>
      </c>
      <c r="DG70" s="87">
        <v>0</v>
      </c>
      <c r="DH70" s="87">
        <v>0</v>
      </c>
      <c r="DI70" s="87">
        <v>0</v>
      </c>
      <c r="DJ70" s="87">
        <v>7.8000000000000043</v>
      </c>
      <c r="DK70" s="87">
        <v>165.99999999999997</v>
      </c>
      <c r="DL70" s="87">
        <v>453.59999999999985</v>
      </c>
      <c r="DM70" s="87">
        <v>189.70000000000005</v>
      </c>
      <c r="DN70" s="87">
        <v>23.899999999999995</v>
      </c>
      <c r="DO70" s="87">
        <v>0</v>
      </c>
      <c r="DP70" s="87">
        <v>0</v>
      </c>
      <c r="DQ70" s="87">
        <v>0</v>
      </c>
      <c r="DR70" s="94">
        <v>19115.199999999972</v>
      </c>
      <c r="DS70" s="94">
        <v>16023.400000000003</v>
      </c>
      <c r="DT70" s="94">
        <v>13764.899999999998</v>
      </c>
      <c r="DU70" s="94">
        <v>10838.199999999984</v>
      </c>
      <c r="DV70" s="94">
        <v>7199.0000000000055</v>
      </c>
      <c r="DW70" s="94">
        <v>4676.6000000000049</v>
      </c>
      <c r="DX70" s="94">
        <v>2599.1999999999994</v>
      </c>
      <c r="DY70" s="94">
        <v>2986.5999999999981</v>
      </c>
      <c r="DZ70" s="94">
        <v>6076.3000000000029</v>
      </c>
      <c r="EA70" s="94">
        <v>10060.199999999997</v>
      </c>
      <c r="EB70" s="94">
        <v>14075.800000000005</v>
      </c>
      <c r="EC70" s="94">
        <v>17723.700000000008</v>
      </c>
      <c r="ED70" s="225" t="s">
        <v>761</v>
      </c>
      <c r="ES70" s="534"/>
      <c r="ET70" s="532"/>
      <c r="EU70" s="535"/>
      <c r="EV70" s="535"/>
      <c r="EW70" s="538"/>
      <c r="EX70" s="538"/>
    </row>
    <row r="71" spans="1:154" hidden="1">
      <c r="A71" s="66" t="s">
        <v>201</v>
      </c>
      <c r="B71" s="96">
        <v>-6.7735483870967723</v>
      </c>
      <c r="C71" s="97">
        <v>-7.5934285714285732</v>
      </c>
      <c r="D71" s="97">
        <v>-0.95109677419354832</v>
      </c>
      <c r="E71" s="97">
        <v>7.1974666666666671</v>
      </c>
      <c r="F71" s="97">
        <v>13.289032258064518</v>
      </c>
      <c r="G71" s="97">
        <v>16.445599999999999</v>
      </c>
      <c r="H71" s="97">
        <v>18.985548387096777</v>
      </c>
      <c r="I71" s="97">
        <v>15.865419354838709</v>
      </c>
      <c r="J71" s="97">
        <v>10.866400000000002</v>
      </c>
      <c r="K71" s="97">
        <v>5.6210322580645151</v>
      </c>
      <c r="L71" s="97">
        <v>-2.699466666666666</v>
      </c>
      <c r="M71" s="100">
        <v>-5.7039193548387095</v>
      </c>
      <c r="N71" s="105">
        <v>-1.39</v>
      </c>
      <c r="O71" s="105">
        <v>-5.52</v>
      </c>
      <c r="P71" s="105">
        <v>-6.64</v>
      </c>
      <c r="Q71" s="105">
        <v>-5.67</v>
      </c>
      <c r="R71" s="105">
        <v>-0.1</v>
      </c>
      <c r="S71" s="105">
        <v>6.14</v>
      </c>
      <c r="T71" s="105">
        <v>12.01</v>
      </c>
      <c r="U71" s="105">
        <v>16.260000000000002</v>
      </c>
      <c r="V71" s="105">
        <v>17.510000000000002</v>
      </c>
      <c r="W71" s="105">
        <v>15.51</v>
      </c>
      <c r="X71" s="105">
        <v>10.7</v>
      </c>
      <c r="Y71" s="105">
        <v>4.63</v>
      </c>
      <c r="Z71" s="102">
        <v>477.22580645161293</v>
      </c>
      <c r="AA71" s="4">
        <v>1197.4285714285713</v>
      </c>
      <c r="AB71" s="4">
        <v>2330</v>
      </c>
      <c r="AC71" s="4">
        <v>3485.3333333333335</v>
      </c>
      <c r="AD71" s="4">
        <v>5041.5161290322585</v>
      </c>
      <c r="AE71" s="4">
        <v>5442.3</v>
      </c>
      <c r="AF71" s="4">
        <v>5156.1935483870966</v>
      </c>
      <c r="AG71" s="4">
        <v>4118.8387096774195</v>
      </c>
      <c r="AH71" s="4">
        <v>2386.6333333333332</v>
      </c>
      <c r="AI71" s="4">
        <v>1332.516129032258</v>
      </c>
      <c r="AJ71" s="4">
        <v>581.13333333333333</v>
      </c>
      <c r="AK71" s="23">
        <v>348.93548387096774</v>
      </c>
      <c r="AL71" s="29">
        <v>1366.8966779170405</v>
      </c>
      <c r="AM71" s="6">
        <v>2347.2112114193133</v>
      </c>
      <c r="AN71" s="6">
        <v>2894.0466713289061</v>
      </c>
      <c r="AO71" s="6">
        <v>2739.5976842735317</v>
      </c>
      <c r="AP71" s="6">
        <v>3050.3438821708996</v>
      </c>
      <c r="AQ71" s="6">
        <v>2956.7517911096338</v>
      </c>
      <c r="AR71" s="6">
        <v>2934.2071404719372</v>
      </c>
      <c r="AS71" s="6">
        <v>2888.1608829688016</v>
      </c>
      <c r="AT71" s="6">
        <v>2320.4746939315096</v>
      </c>
      <c r="AU71" s="6">
        <v>2099.8378274580209</v>
      </c>
      <c r="AV71" s="6">
        <v>1431.8285592921632</v>
      </c>
      <c r="AW71" s="30">
        <v>1162.679040450854</v>
      </c>
      <c r="AX71" s="39">
        <v>1023.868838082004</v>
      </c>
      <c r="AY71" s="8">
        <v>1867.1447833672883</v>
      </c>
      <c r="AZ71" s="8">
        <v>2613.159700337761</v>
      </c>
      <c r="BA71" s="8">
        <v>2877.9707590971693</v>
      </c>
      <c r="BB71" s="8">
        <v>3456.8621978529927</v>
      </c>
      <c r="BC71" s="8">
        <v>3386.6613753433662</v>
      </c>
      <c r="BD71" s="8">
        <v>3345.1924615262601</v>
      </c>
      <c r="BE71" s="8">
        <v>3150.6698837426216</v>
      </c>
      <c r="BF71" s="8">
        <v>2247.5258837334673</v>
      </c>
      <c r="BG71" s="8">
        <v>1745.2034847744956</v>
      </c>
      <c r="BH71" s="8">
        <v>1089.9161617710542</v>
      </c>
      <c r="BI71" s="40">
        <v>861.79979902815035</v>
      </c>
      <c r="BJ71" s="49">
        <v>472.55210146333746</v>
      </c>
      <c r="BK71" s="10">
        <v>1096.0651000797804</v>
      </c>
      <c r="BL71" s="10">
        <v>1927.1674191462948</v>
      </c>
      <c r="BM71" s="10">
        <v>2596.5384146243819</v>
      </c>
      <c r="BN71" s="10">
        <v>3573.1955923461387</v>
      </c>
      <c r="BO71" s="10">
        <v>3732.9223809708192</v>
      </c>
      <c r="BP71" s="10">
        <v>3580.7026743762358</v>
      </c>
      <c r="BQ71" s="10">
        <v>3008.5566012596628</v>
      </c>
      <c r="BR71" s="10">
        <v>1837.0885181764618</v>
      </c>
      <c r="BS71" s="10">
        <v>1140.2392078532887</v>
      </c>
      <c r="BT71" s="10">
        <v>550.73115834548503</v>
      </c>
      <c r="BU71" s="50">
        <v>359.20363761858903</v>
      </c>
      <c r="BV71" s="57">
        <v>181.70207578872672</v>
      </c>
      <c r="BW71" s="12">
        <v>412.13987010674225</v>
      </c>
      <c r="BX71" s="12">
        <v>769.95891667919807</v>
      </c>
      <c r="BY71" s="12">
        <v>1195.9077387023078</v>
      </c>
      <c r="BZ71" s="12">
        <v>1630.4903984743567</v>
      </c>
      <c r="CA71" s="12">
        <v>1810.1118832142452</v>
      </c>
      <c r="CB71" s="12">
        <v>1713.5890888862559</v>
      </c>
      <c r="CC71" s="12">
        <v>1368.9901397122621</v>
      </c>
      <c r="CD71" s="12">
        <v>870.36276611777828</v>
      </c>
      <c r="CE71" s="12">
        <v>485.16805992083169</v>
      </c>
      <c r="CF71" s="12">
        <v>222.65351250734952</v>
      </c>
      <c r="CG71" s="63">
        <v>135.06835293315834</v>
      </c>
      <c r="CH71" s="71">
        <v>19162.3</v>
      </c>
      <c r="CI71" s="71">
        <v>17861.60000000002</v>
      </c>
      <c r="CJ71" s="71">
        <v>14816.900000000003</v>
      </c>
      <c r="CK71" s="71">
        <v>8457.0999999999967</v>
      </c>
      <c r="CL71" s="71">
        <v>4403.4000000000033</v>
      </c>
      <c r="CM71" s="71">
        <v>2371.7999999999975</v>
      </c>
      <c r="CN71" s="71">
        <v>1279.9000000000015</v>
      </c>
      <c r="CO71" s="71">
        <v>2908.8000000000015</v>
      </c>
      <c r="CP71" s="71">
        <v>5837.6999999999971</v>
      </c>
      <c r="CQ71" s="71">
        <v>9925.5999999999676</v>
      </c>
      <c r="CR71" s="71">
        <v>15603.699999999988</v>
      </c>
      <c r="CS71" s="71">
        <v>18382.900000000005</v>
      </c>
      <c r="CT71" s="79">
        <v>0</v>
      </c>
      <c r="CU71" s="79">
        <v>0</v>
      </c>
      <c r="CV71" s="79">
        <v>0</v>
      </c>
      <c r="CW71" s="79">
        <v>11.899999999999999</v>
      </c>
      <c r="CX71" s="79">
        <v>251.9</v>
      </c>
      <c r="CY71" s="79">
        <v>609.20000000000039</v>
      </c>
      <c r="CZ71" s="79">
        <v>1360.9</v>
      </c>
      <c r="DA71" s="79">
        <v>646.80000000000018</v>
      </c>
      <c r="DB71" s="79">
        <v>35.599999999999994</v>
      </c>
      <c r="DC71" s="79">
        <v>0</v>
      </c>
      <c r="DD71" s="79">
        <v>0</v>
      </c>
      <c r="DE71" s="79">
        <v>0</v>
      </c>
      <c r="DF71" s="87">
        <v>0</v>
      </c>
      <c r="DG71" s="87">
        <v>0</v>
      </c>
      <c r="DH71" s="87">
        <v>0</v>
      </c>
      <c r="DI71" s="87">
        <v>0</v>
      </c>
      <c r="DJ71" s="87">
        <v>0</v>
      </c>
      <c r="DK71" s="87">
        <v>28.999999999999996</v>
      </c>
      <c r="DL71" s="87">
        <v>112.79999999999998</v>
      </c>
      <c r="DM71" s="87">
        <v>23.000000000000007</v>
      </c>
      <c r="DN71" s="87">
        <v>0</v>
      </c>
      <c r="DO71" s="87">
        <v>0</v>
      </c>
      <c r="DP71" s="87">
        <v>0</v>
      </c>
      <c r="DQ71" s="87">
        <v>0</v>
      </c>
      <c r="DR71" s="94">
        <v>24370.300000000028</v>
      </c>
      <c r="DS71" s="94">
        <v>22565.600000000024</v>
      </c>
      <c r="DT71" s="94">
        <v>20024.899999999969</v>
      </c>
      <c r="DU71" s="94">
        <v>13485.199999999999</v>
      </c>
      <c r="DV71" s="94">
        <v>9359.5</v>
      </c>
      <c r="DW71" s="94">
        <v>6831.6</v>
      </c>
      <c r="DX71" s="94">
        <v>5239.7999999999956</v>
      </c>
      <c r="DY71" s="94">
        <v>7492.9999999999982</v>
      </c>
      <c r="DZ71" s="94">
        <v>10842.100000000008</v>
      </c>
      <c r="EA71" s="94">
        <v>15133.599999999968</v>
      </c>
      <c r="EB71" s="94">
        <v>20643.699999999979</v>
      </c>
      <c r="EC71" s="94">
        <v>23590.900000000009</v>
      </c>
      <c r="ED71" s="225" t="s">
        <v>761</v>
      </c>
      <c r="ES71" s="534">
        <v>18.8</v>
      </c>
      <c r="ET71" s="532">
        <v>13.8</v>
      </c>
      <c r="EU71" s="535">
        <v>29.5</v>
      </c>
      <c r="EV71" s="535">
        <v>21.7</v>
      </c>
      <c r="EW71" s="538">
        <v>7.6</v>
      </c>
      <c r="EX71" s="538">
        <v>5.6</v>
      </c>
    </row>
    <row r="72" spans="1:154" hidden="1">
      <c r="A72" s="66" t="s">
        <v>206</v>
      </c>
      <c r="B72" s="96">
        <v>-0.53161290322580623</v>
      </c>
      <c r="C72" s="97">
        <v>-2.6822857142857148</v>
      </c>
      <c r="D72" s="97">
        <v>2.6623225806451609</v>
      </c>
      <c r="E72" s="97">
        <v>7.2601333333333331</v>
      </c>
      <c r="F72" s="97">
        <v>12.199225806451615</v>
      </c>
      <c r="G72" s="97">
        <v>14.241733333333336</v>
      </c>
      <c r="H72" s="97">
        <v>17.875483870967745</v>
      </c>
      <c r="I72" s="97">
        <v>17.134193548387096</v>
      </c>
      <c r="J72" s="97">
        <v>13.487733333333333</v>
      </c>
      <c r="K72" s="97">
        <v>8.8852903225806443</v>
      </c>
      <c r="L72" s="97">
        <v>3.5184000000000006</v>
      </c>
      <c r="M72" s="100">
        <v>-0.21753763440860224</v>
      </c>
      <c r="N72" s="105">
        <v>-0.52</v>
      </c>
      <c r="O72" s="105">
        <v>-1.31</v>
      </c>
      <c r="P72" s="105">
        <v>0.27</v>
      </c>
      <c r="Q72" s="105">
        <v>3.89</v>
      </c>
      <c r="R72" s="105">
        <v>8.6</v>
      </c>
      <c r="S72" s="105">
        <v>13.13</v>
      </c>
      <c r="T72" s="105">
        <v>16.239999999999998</v>
      </c>
      <c r="U72" s="105">
        <v>17.11</v>
      </c>
      <c r="V72" s="105">
        <v>15.47</v>
      </c>
      <c r="W72" s="105">
        <v>11.78</v>
      </c>
      <c r="X72" s="105">
        <v>7.06</v>
      </c>
      <c r="Y72" s="105">
        <v>2.56</v>
      </c>
      <c r="Z72" s="102">
        <v>881.87096774193549</v>
      </c>
      <c r="AA72" s="4">
        <v>1654.5714285714287</v>
      </c>
      <c r="AB72" s="4">
        <v>2519.6129032258063</v>
      </c>
      <c r="AC72" s="4">
        <v>4015.9333333333334</v>
      </c>
      <c r="AD72" s="4">
        <v>5503.2903225806449</v>
      </c>
      <c r="AE72" s="4">
        <v>5019.1000000000004</v>
      </c>
      <c r="AF72" s="4">
        <v>5609.322580645161</v>
      </c>
      <c r="AG72" s="4">
        <v>4707.2903225806449</v>
      </c>
      <c r="AH72" s="4">
        <v>3144.3</v>
      </c>
      <c r="AI72" s="4">
        <v>2078.9032258064517</v>
      </c>
      <c r="AJ72" s="4">
        <v>1026.5</v>
      </c>
      <c r="AK72" s="23">
        <v>665.58064516129036</v>
      </c>
      <c r="AL72" s="29">
        <v>1651.0152221058456</v>
      </c>
      <c r="AM72" s="6">
        <v>2378.9397670820972</v>
      </c>
      <c r="AN72" s="6">
        <v>2463.477677762844</v>
      </c>
      <c r="AO72" s="6">
        <v>2763.1195057170594</v>
      </c>
      <c r="AP72" s="6">
        <v>2913.3421195405103</v>
      </c>
      <c r="AQ72" s="6">
        <v>2465.8419499594902</v>
      </c>
      <c r="AR72" s="6">
        <v>2798.4155210696845</v>
      </c>
      <c r="AS72" s="6">
        <v>2894.7275210732282</v>
      </c>
      <c r="AT72" s="6">
        <v>2689.9244588320912</v>
      </c>
      <c r="AU72" s="6">
        <v>2723.5130336531943</v>
      </c>
      <c r="AV72" s="6">
        <v>1771.7596686233162</v>
      </c>
      <c r="AW72" s="30">
        <v>1298.8922681871516</v>
      </c>
      <c r="AX72" s="39">
        <v>1289.1471013587241</v>
      </c>
      <c r="AY72" s="8">
        <v>1974.7865495847286</v>
      </c>
      <c r="AZ72" s="8">
        <v>2308.0542885771329</v>
      </c>
      <c r="BA72" s="8">
        <v>2995.7470930380791</v>
      </c>
      <c r="BB72" s="8">
        <v>3475.8360986783709</v>
      </c>
      <c r="BC72" s="8">
        <v>2926.8488574386888</v>
      </c>
      <c r="BD72" s="8">
        <v>3380.3648821275656</v>
      </c>
      <c r="BE72" s="8">
        <v>3286.3279810594559</v>
      </c>
      <c r="BF72" s="8">
        <v>2676.283523716631</v>
      </c>
      <c r="BG72" s="8">
        <v>2330.5938973278094</v>
      </c>
      <c r="BH72" s="8">
        <v>1404.2962201165149</v>
      </c>
      <c r="BI72" s="40">
        <v>1006.280702878198</v>
      </c>
      <c r="BJ72" s="49">
        <v>728.35126662448033</v>
      </c>
      <c r="BK72" s="10">
        <v>1307.5793238924759</v>
      </c>
      <c r="BL72" s="10">
        <v>1844.8009150233279</v>
      </c>
      <c r="BM72" s="10">
        <v>2796.4444046454491</v>
      </c>
      <c r="BN72" s="10">
        <v>3686.2097901957436</v>
      </c>
      <c r="BO72" s="10">
        <v>3247.5449826465679</v>
      </c>
      <c r="BP72" s="10">
        <v>3703.4275095987659</v>
      </c>
      <c r="BQ72" s="10">
        <v>3233.7423425268853</v>
      </c>
      <c r="BR72" s="10">
        <v>2267.45893701351</v>
      </c>
      <c r="BS72" s="10">
        <v>1623.8898501510869</v>
      </c>
      <c r="BT72" s="10">
        <v>833.95247466993317</v>
      </c>
      <c r="BU72" s="50">
        <v>549.03107291682579</v>
      </c>
      <c r="BV72" s="57">
        <v>336.39533316493583</v>
      </c>
      <c r="BW72" s="12">
        <v>582.74173438453101</v>
      </c>
      <c r="BX72" s="12">
        <v>894.94339575202446</v>
      </c>
      <c r="BY72" s="12">
        <v>1327.7138926296473</v>
      </c>
      <c r="BZ72" s="12">
        <v>1689.3879074830836</v>
      </c>
      <c r="CA72" s="12">
        <v>1749.4207103569565</v>
      </c>
      <c r="CB72" s="12">
        <v>1753.7591471427347</v>
      </c>
      <c r="CC72" s="12">
        <v>1479.8735612471771</v>
      </c>
      <c r="CD72" s="12">
        <v>1062.8603291630445</v>
      </c>
      <c r="CE72" s="12">
        <v>697.51405529044314</v>
      </c>
      <c r="CF72" s="12">
        <v>387.44710574925199</v>
      </c>
      <c r="CG72" s="63">
        <v>267.03462388327137</v>
      </c>
      <c r="CH72" s="71">
        <v>14500.000000000002</v>
      </c>
      <c r="CI72" s="71">
        <v>14528.999999999984</v>
      </c>
      <c r="CJ72" s="71">
        <v>12098.799999999994</v>
      </c>
      <c r="CK72" s="71">
        <v>8424.7000000000007</v>
      </c>
      <c r="CL72" s="71">
        <v>5229.5999999999967</v>
      </c>
      <c r="CM72" s="71">
        <v>3664.5999999999995</v>
      </c>
      <c r="CN72" s="71">
        <v>1936.5000000000011</v>
      </c>
      <c r="CO72" s="71">
        <v>2398.400000000001</v>
      </c>
      <c r="CP72" s="71">
        <v>4192.699999999998</v>
      </c>
      <c r="CQ72" s="71">
        <v>7517.299999999992</v>
      </c>
      <c r="CR72" s="71">
        <v>11120.4</v>
      </c>
      <c r="CS72" s="71">
        <v>14268.700000000008</v>
      </c>
      <c r="CT72" s="79">
        <v>0</v>
      </c>
      <c r="CU72" s="79">
        <v>0</v>
      </c>
      <c r="CV72" s="79">
        <v>0</v>
      </c>
      <c r="CW72" s="79">
        <v>54.800000000000018</v>
      </c>
      <c r="CX72" s="79">
        <v>283.7000000000001</v>
      </c>
      <c r="CY72" s="79">
        <v>320.09999999999991</v>
      </c>
      <c r="CZ72" s="79">
        <v>1190.7999999999995</v>
      </c>
      <c r="DA72" s="79">
        <v>1108.2000000000005</v>
      </c>
      <c r="DB72" s="79">
        <v>294.90000000000009</v>
      </c>
      <c r="DC72" s="79">
        <v>62.8</v>
      </c>
      <c r="DD72" s="79">
        <v>0</v>
      </c>
      <c r="DE72" s="79">
        <v>0</v>
      </c>
      <c r="DF72" s="87">
        <v>0</v>
      </c>
      <c r="DG72" s="87">
        <v>0</v>
      </c>
      <c r="DH72" s="87">
        <v>0</v>
      </c>
      <c r="DI72" s="87">
        <v>0</v>
      </c>
      <c r="DJ72" s="87">
        <v>0</v>
      </c>
      <c r="DK72" s="87">
        <v>2.8000000000000007</v>
      </c>
      <c r="DL72" s="87">
        <v>154.79999999999993</v>
      </c>
      <c r="DM72" s="87">
        <v>116.49999999999999</v>
      </c>
      <c r="DN72" s="87">
        <v>4.8000000000000007</v>
      </c>
      <c r="DO72" s="87">
        <v>0</v>
      </c>
      <c r="DP72" s="87">
        <v>0</v>
      </c>
      <c r="DQ72" s="87">
        <v>0</v>
      </c>
      <c r="DR72" s="94">
        <v>19708.000000000004</v>
      </c>
      <c r="DS72" s="94">
        <v>19232.999999999996</v>
      </c>
      <c r="DT72" s="94">
        <v>17306.800000000007</v>
      </c>
      <c r="DU72" s="94">
        <v>13409.900000000003</v>
      </c>
      <c r="DV72" s="94">
        <v>10153.900000000005</v>
      </c>
      <c r="DW72" s="94">
        <v>8387.3000000000011</v>
      </c>
      <c r="DX72" s="94">
        <v>6108.4999999999973</v>
      </c>
      <c r="DY72" s="94">
        <v>6614.6999999999944</v>
      </c>
      <c r="DZ72" s="94">
        <v>8942.5999999999985</v>
      </c>
      <c r="EA72" s="94">
        <v>12662.500000000007</v>
      </c>
      <c r="EB72" s="94">
        <v>16160.399999999991</v>
      </c>
      <c r="EC72" s="94">
        <v>19476.699999999997</v>
      </c>
      <c r="ED72" s="225" t="s">
        <v>761</v>
      </c>
      <c r="ES72" s="534">
        <v>18.8</v>
      </c>
      <c r="ET72" s="532">
        <v>13.8</v>
      </c>
      <c r="EU72" s="535">
        <v>29.5</v>
      </c>
      <c r="EV72" s="535">
        <v>21.7</v>
      </c>
      <c r="EW72" s="538">
        <v>7.6</v>
      </c>
      <c r="EX72" s="538">
        <v>5.6</v>
      </c>
    </row>
    <row r="73" spans="1:154" hidden="1">
      <c r="A73" s="66" t="s">
        <v>198</v>
      </c>
      <c r="B73" s="96">
        <v>8.2179354838709671</v>
      </c>
      <c r="C73" s="97">
        <v>8.9258571428571436</v>
      </c>
      <c r="D73" s="97">
        <v>10.530064516129029</v>
      </c>
      <c r="E73" s="97">
        <v>13.15906666666667</v>
      </c>
      <c r="F73" s="97">
        <v>17.448774193548388</v>
      </c>
      <c r="G73" s="97">
        <v>21.10626666666667</v>
      </c>
      <c r="H73" s="97">
        <v>24.121290322580645</v>
      </c>
      <c r="I73" s="97">
        <v>24.318322580645155</v>
      </c>
      <c r="J73" s="97">
        <v>21.424666666666663</v>
      </c>
      <c r="K73" s="97">
        <v>16.897032258064513</v>
      </c>
      <c r="L73" s="97">
        <v>12.744533333333331</v>
      </c>
      <c r="M73" s="100">
        <v>9.318881720430106</v>
      </c>
      <c r="N73" s="105">
        <v>9.15</v>
      </c>
      <c r="O73" s="105">
        <v>8.5</v>
      </c>
      <c r="P73" s="105">
        <v>9.66</v>
      </c>
      <c r="Q73" s="105">
        <v>11.47</v>
      </c>
      <c r="R73" s="105">
        <v>16.21</v>
      </c>
      <c r="S73" s="105">
        <v>19.86</v>
      </c>
      <c r="T73" s="105">
        <v>22.33</v>
      </c>
      <c r="U73" s="105">
        <v>23.08</v>
      </c>
      <c r="V73" s="105">
        <v>21.8</v>
      </c>
      <c r="W73" s="105">
        <v>18.96</v>
      </c>
      <c r="X73" s="105">
        <v>15.17</v>
      </c>
      <c r="Y73" s="105">
        <v>11.65</v>
      </c>
      <c r="Z73" s="102">
        <v>1625.3548387096773</v>
      </c>
      <c r="AA73" s="4">
        <v>2563.8571428571427</v>
      </c>
      <c r="AB73" s="4">
        <v>3704.1290322580644</v>
      </c>
      <c r="AC73" s="4">
        <v>4668.6333333333332</v>
      </c>
      <c r="AD73" s="4">
        <v>5761.2258064516127</v>
      </c>
      <c r="AE73" s="4">
        <v>6338.1333333333332</v>
      </c>
      <c r="AF73" s="4">
        <v>6804.7419354838712</v>
      </c>
      <c r="AG73" s="4">
        <v>5793.0322580645161</v>
      </c>
      <c r="AH73" s="4">
        <v>4444.3666666666668</v>
      </c>
      <c r="AI73" s="4">
        <v>2872.7741935483873</v>
      </c>
      <c r="AJ73" s="4">
        <v>1907.7666666666667</v>
      </c>
      <c r="AK73" s="23">
        <v>1476.3870967741937</v>
      </c>
      <c r="AL73" s="29">
        <v>2728.5410174535955</v>
      </c>
      <c r="AM73" s="6">
        <v>3339.1912509624872</v>
      </c>
      <c r="AN73" s="6">
        <v>3373.1217139281139</v>
      </c>
      <c r="AO73" s="6">
        <v>2860.3708992521997</v>
      </c>
      <c r="AP73" s="6">
        <v>2688.9418743712049</v>
      </c>
      <c r="AQ73" s="6">
        <v>2612.6818987903821</v>
      </c>
      <c r="AR73" s="6">
        <v>2855.6324744695917</v>
      </c>
      <c r="AS73" s="6">
        <v>3116.5290548899061</v>
      </c>
      <c r="AT73" s="6">
        <v>3488.1213654537632</v>
      </c>
      <c r="AU73" s="6">
        <v>3328.5762023365514</v>
      </c>
      <c r="AV73" s="6">
        <v>3053.2692658364699</v>
      </c>
      <c r="AW73" s="30">
        <v>2736.1128498634134</v>
      </c>
      <c r="AX73" s="39">
        <v>2155.9134279502473</v>
      </c>
      <c r="AY73" s="8">
        <v>2819.3237779282208</v>
      </c>
      <c r="AZ73" s="8">
        <v>3235.2928837217182</v>
      </c>
      <c r="BA73" s="8">
        <v>3234.9131492924603</v>
      </c>
      <c r="BB73" s="8">
        <v>3386.038315376305</v>
      </c>
      <c r="BC73" s="8">
        <v>3434.1728891926887</v>
      </c>
      <c r="BD73" s="8">
        <v>3800.4055023792334</v>
      </c>
      <c r="BE73" s="8">
        <v>3771.5527297951649</v>
      </c>
      <c r="BF73" s="8">
        <v>3590.7554062209283</v>
      </c>
      <c r="BG73" s="8">
        <v>2914.8584168909665</v>
      </c>
      <c r="BH73" s="8">
        <v>2441.6121071617272</v>
      </c>
      <c r="BI73" s="40">
        <v>2123.5560754417897</v>
      </c>
      <c r="BJ73" s="49">
        <v>1277.55631253722</v>
      </c>
      <c r="BK73" s="10">
        <v>1932.3112437812031</v>
      </c>
      <c r="BL73" s="10">
        <v>2634.7973858665764</v>
      </c>
      <c r="BM73" s="10">
        <v>3124.7078872402153</v>
      </c>
      <c r="BN73" s="10">
        <v>3712.9664502246846</v>
      </c>
      <c r="BO73" s="10">
        <v>4014.3481874372947</v>
      </c>
      <c r="BP73" s="10">
        <v>4368.9235950944958</v>
      </c>
      <c r="BQ73" s="10">
        <v>3850.9996109478102</v>
      </c>
      <c r="BR73" s="10">
        <v>3112.5140263276949</v>
      </c>
      <c r="BS73" s="10">
        <v>2120.7865068425617</v>
      </c>
      <c r="BT73" s="10">
        <v>1492.5516750241848</v>
      </c>
      <c r="BU73" s="50">
        <v>1187.1144017375782</v>
      </c>
      <c r="BV73" s="57">
        <v>537.66074079646739</v>
      </c>
      <c r="BW73" s="12">
        <v>789.56611443504107</v>
      </c>
      <c r="BX73" s="12">
        <v>1111.4430520711344</v>
      </c>
      <c r="BY73" s="12">
        <v>1443.4819436682051</v>
      </c>
      <c r="BZ73" s="12">
        <v>1720.5365006237853</v>
      </c>
      <c r="CA73" s="12">
        <v>1843.4559606232174</v>
      </c>
      <c r="CB73" s="12">
        <v>1801.8377255993298</v>
      </c>
      <c r="CC73" s="12">
        <v>1583.1773478679193</v>
      </c>
      <c r="CD73" s="12">
        <v>1253.51607284531</v>
      </c>
      <c r="CE73" s="12">
        <v>880.83218149822471</v>
      </c>
      <c r="CF73" s="12">
        <v>604.17747087844634</v>
      </c>
      <c r="CG73" s="63">
        <v>482.5855478959844</v>
      </c>
      <c r="CH73" s="71">
        <v>7976.4999999999982</v>
      </c>
      <c r="CI73" s="71">
        <v>6703.2999999999965</v>
      </c>
      <c r="CJ73" s="71">
        <v>6237.7</v>
      </c>
      <c r="CK73" s="71">
        <v>4153.8999999999996</v>
      </c>
      <c r="CL73" s="71">
        <v>1822.900000000001</v>
      </c>
      <c r="CM73" s="71">
        <v>462.20000000000005</v>
      </c>
      <c r="CN73" s="71">
        <v>13.3</v>
      </c>
      <c r="CO73" s="71">
        <v>68.000000000000014</v>
      </c>
      <c r="CP73" s="71">
        <v>296.49999999999994</v>
      </c>
      <c r="CQ73" s="71">
        <v>2296.7999999999993</v>
      </c>
      <c r="CR73" s="71">
        <v>4478.6999999999989</v>
      </c>
      <c r="CS73" s="71">
        <v>7141.300000000002</v>
      </c>
      <c r="CT73" s="79">
        <v>0</v>
      </c>
      <c r="CU73" s="79">
        <v>0</v>
      </c>
      <c r="CV73" s="79">
        <v>0</v>
      </c>
      <c r="CW73" s="79">
        <v>24.8</v>
      </c>
      <c r="CX73" s="79">
        <v>774.19999999999948</v>
      </c>
      <c r="CY73" s="79">
        <v>2067.8999999999992</v>
      </c>
      <c r="CZ73" s="79">
        <v>3890.4000000000019</v>
      </c>
      <c r="DA73" s="79">
        <v>4106.3999999999987</v>
      </c>
      <c r="DB73" s="79">
        <v>2113.5999999999995</v>
      </c>
      <c r="DC73" s="79">
        <v>800.70000000000016</v>
      </c>
      <c r="DD73" s="79">
        <v>32.700000000000003</v>
      </c>
      <c r="DE73" s="79">
        <v>0</v>
      </c>
      <c r="DF73" s="87">
        <v>0</v>
      </c>
      <c r="DG73" s="87">
        <v>0</v>
      </c>
      <c r="DH73" s="87">
        <v>0</v>
      </c>
      <c r="DI73" s="87">
        <v>0</v>
      </c>
      <c r="DJ73" s="87">
        <v>18.200000000000003</v>
      </c>
      <c r="DK73" s="87">
        <v>153.10000000000002</v>
      </c>
      <c r="DL73" s="87">
        <v>368.80000000000013</v>
      </c>
      <c r="DM73" s="87">
        <v>539.19999999999982</v>
      </c>
      <c r="DN73" s="87">
        <v>5.6999999999999993</v>
      </c>
      <c r="DO73" s="87">
        <v>9.5</v>
      </c>
      <c r="DP73" s="87">
        <v>0</v>
      </c>
      <c r="DQ73" s="87">
        <v>0</v>
      </c>
      <c r="DR73" s="94">
        <v>13184.499999999987</v>
      </c>
      <c r="DS73" s="94">
        <v>11407.300000000005</v>
      </c>
      <c r="DT73" s="94">
        <v>11445.700000000004</v>
      </c>
      <c r="DU73" s="94">
        <v>9169.0999999999985</v>
      </c>
      <c r="DV73" s="94">
        <v>6274.9000000000005</v>
      </c>
      <c r="DW73" s="94">
        <v>3587.3999999999983</v>
      </c>
      <c r="DX73" s="94">
        <v>1699.6999999999991</v>
      </c>
      <c r="DY73" s="94">
        <v>1708.8000000000006</v>
      </c>
      <c r="DZ73" s="94">
        <v>3228.6000000000008</v>
      </c>
      <c r="EA73" s="94">
        <v>6713.6000000000067</v>
      </c>
      <c r="EB73" s="94">
        <v>9486.0000000000018</v>
      </c>
      <c r="EC73" s="94">
        <v>12349.300000000019</v>
      </c>
      <c r="ED73" s="225" t="s">
        <v>761</v>
      </c>
      <c r="ES73" s="534">
        <v>18.8</v>
      </c>
      <c r="ET73" s="532">
        <v>13.8</v>
      </c>
      <c r="EU73" s="535">
        <v>29.5</v>
      </c>
      <c r="EV73" s="535">
        <v>21.7</v>
      </c>
      <c r="EW73" s="538">
        <v>7.6</v>
      </c>
      <c r="EX73" s="538">
        <v>5.6</v>
      </c>
    </row>
    <row r="74" spans="1:154" hidden="1">
      <c r="A74" s="66" t="s">
        <v>202</v>
      </c>
      <c r="B74" s="96">
        <v>-5.6490322580645165</v>
      </c>
      <c r="C74" s="97">
        <v>-5.7117142857142857</v>
      </c>
      <c r="D74" s="97">
        <v>-0.85780645161290325</v>
      </c>
      <c r="E74" s="97">
        <v>4.2834666666666665</v>
      </c>
      <c r="F74" s="97">
        <v>10.915354838709677</v>
      </c>
      <c r="G74" s="97">
        <v>14.551066666666664</v>
      </c>
      <c r="H74" s="97">
        <v>17.598709677419354</v>
      </c>
      <c r="I74" s="97">
        <v>16.35858064516129</v>
      </c>
      <c r="J74" s="97">
        <v>10.706133333333334</v>
      </c>
      <c r="K74" s="97">
        <v>5.8153548387096778</v>
      </c>
      <c r="L74" s="97">
        <v>-0.53866666666666652</v>
      </c>
      <c r="M74" s="100">
        <v>-4.0164516129032242</v>
      </c>
      <c r="N74" s="105">
        <v>-0.64</v>
      </c>
      <c r="O74" s="105">
        <v>-4.25</v>
      </c>
      <c r="P74" s="105">
        <v>-5.24</v>
      </c>
      <c r="Q74" s="105">
        <v>-4.38</v>
      </c>
      <c r="R74" s="105">
        <v>0.49</v>
      </c>
      <c r="S74" s="105">
        <v>5.95</v>
      </c>
      <c r="T74" s="105">
        <v>11.09</v>
      </c>
      <c r="U74" s="105">
        <v>14.81</v>
      </c>
      <c r="V74" s="105">
        <v>15.9</v>
      </c>
      <c r="W74" s="105">
        <v>14.15</v>
      </c>
      <c r="X74" s="105">
        <v>9.94</v>
      </c>
      <c r="Y74" s="105">
        <v>4.63</v>
      </c>
      <c r="Z74" s="102">
        <v>223.67741935483872</v>
      </c>
      <c r="AA74" s="4">
        <v>879.64285714285711</v>
      </c>
      <c r="AB74" s="4">
        <v>1807.9032258064517</v>
      </c>
      <c r="AC74" s="4">
        <v>3245.6</v>
      </c>
      <c r="AD74" s="4">
        <v>4865.2258064516127</v>
      </c>
      <c r="AE74" s="4">
        <v>5397.7666666666664</v>
      </c>
      <c r="AF74" s="4">
        <v>5331.3870967741932</v>
      </c>
      <c r="AG74" s="4">
        <v>3945.7741935483873</v>
      </c>
      <c r="AH74" s="4">
        <v>2139.8333333333335</v>
      </c>
      <c r="AI74" s="4">
        <v>961.9677419354839</v>
      </c>
      <c r="AJ74" s="4">
        <v>324.56666666666666</v>
      </c>
      <c r="AK74" s="23">
        <v>148.38709677419354</v>
      </c>
      <c r="AL74" s="29">
        <v>806.18526963806187</v>
      </c>
      <c r="AM74" s="6">
        <v>2096.7970403874901</v>
      </c>
      <c r="AN74" s="6">
        <v>2429.2605116003206</v>
      </c>
      <c r="AO74" s="6">
        <v>2754.0783511810255</v>
      </c>
      <c r="AP74" s="6">
        <v>3140.8518247495831</v>
      </c>
      <c r="AQ74" s="6">
        <v>3111.9351659733752</v>
      </c>
      <c r="AR74" s="6">
        <v>3225.6897464588592</v>
      </c>
      <c r="AS74" s="6">
        <v>2974.0426604528798</v>
      </c>
      <c r="AT74" s="6">
        <v>2291.1509615788345</v>
      </c>
      <c r="AU74" s="6">
        <v>1703.2764066701907</v>
      </c>
      <c r="AV74" s="6">
        <v>999.01212004878346</v>
      </c>
      <c r="AW74" s="30">
        <v>704.22001007090671</v>
      </c>
      <c r="AX74" s="39">
        <v>597.1734504803718</v>
      </c>
      <c r="AY74" s="8">
        <v>1630.1476308182546</v>
      </c>
      <c r="AZ74" s="8">
        <v>2166.6752735256136</v>
      </c>
      <c r="BA74" s="8">
        <v>2860.4460054254419</v>
      </c>
      <c r="BB74" s="8">
        <v>3482.2095384406848</v>
      </c>
      <c r="BC74" s="8">
        <v>3467.1027329934868</v>
      </c>
      <c r="BD74" s="8">
        <v>3602.6581126712563</v>
      </c>
      <c r="BE74" s="8">
        <v>3200.4239546832428</v>
      </c>
      <c r="BF74" s="8">
        <v>2192.1744503681684</v>
      </c>
      <c r="BG74" s="8">
        <v>1391.8867985885629</v>
      </c>
      <c r="BH74" s="8">
        <v>746.89391334705908</v>
      </c>
      <c r="BI74" s="40">
        <v>515.82897110873989</v>
      </c>
      <c r="BJ74" s="49">
        <v>241.49071806052612</v>
      </c>
      <c r="BK74" s="10">
        <v>888.4452203894881</v>
      </c>
      <c r="BL74" s="10">
        <v>1566.8608858747161</v>
      </c>
      <c r="BM74" s="10">
        <v>2542.5829263417349</v>
      </c>
      <c r="BN74" s="10">
        <v>3588.8362980328843</v>
      </c>
      <c r="BO74" s="10">
        <v>3833.1483334055174</v>
      </c>
      <c r="BP74" s="10">
        <v>3872.6017103163649</v>
      </c>
      <c r="BQ74" s="10">
        <v>3024.6386689076835</v>
      </c>
      <c r="BR74" s="10">
        <v>1746.3197051971474</v>
      </c>
      <c r="BS74" s="10">
        <v>873.35477191554833</v>
      </c>
      <c r="BT74" s="10">
        <v>337.33592725669547</v>
      </c>
      <c r="BU74" s="50">
        <v>175.03732219408255</v>
      </c>
      <c r="BV74" s="57">
        <v>92.574281973603817</v>
      </c>
      <c r="BW74" s="12">
        <v>308.26167310249383</v>
      </c>
      <c r="BX74" s="12">
        <v>640.80463627588324</v>
      </c>
      <c r="BY74" s="12">
        <v>1124.5669397586441</v>
      </c>
      <c r="BZ74" s="12">
        <v>1603.6569982665451</v>
      </c>
      <c r="CA74" s="12">
        <v>1822.4578656039575</v>
      </c>
      <c r="CB74" s="12">
        <v>1731.004095359398</v>
      </c>
      <c r="CC74" s="12">
        <v>1318.3678884460317</v>
      </c>
      <c r="CD74" s="12">
        <v>784.07798233593041</v>
      </c>
      <c r="CE74" s="12">
        <v>368.96267821538919</v>
      </c>
      <c r="CF74" s="12">
        <v>131.36178789430764</v>
      </c>
      <c r="CG74" s="63">
        <v>61.012769816718595</v>
      </c>
      <c r="CH74" s="71">
        <v>18327.299999999996</v>
      </c>
      <c r="CI74" s="71">
        <v>16588.099999999991</v>
      </c>
      <c r="CJ74" s="71">
        <v>14764.400000000007</v>
      </c>
      <c r="CK74" s="71">
        <v>10530.199999999999</v>
      </c>
      <c r="CL74" s="71">
        <v>6086.4999999999964</v>
      </c>
      <c r="CM74" s="71">
        <v>3331.5999999999967</v>
      </c>
      <c r="CN74" s="71">
        <v>1732.7000000000005</v>
      </c>
      <c r="CO74" s="71">
        <v>2404.6000000000004</v>
      </c>
      <c r="CP74" s="71">
        <v>5939</v>
      </c>
      <c r="CQ74" s="71">
        <v>9797.6000000000058</v>
      </c>
      <c r="CR74" s="71">
        <v>14055.200000000012</v>
      </c>
      <c r="CS74" s="71">
        <v>17123.999999999989</v>
      </c>
      <c r="CT74" s="79">
        <v>0</v>
      </c>
      <c r="CU74" s="79">
        <v>0</v>
      </c>
      <c r="CV74" s="79">
        <v>0</v>
      </c>
      <c r="CW74" s="79">
        <v>0.10000000000000142</v>
      </c>
      <c r="CX74" s="79">
        <v>179.6</v>
      </c>
      <c r="CY74" s="79">
        <v>175.69999999999996</v>
      </c>
      <c r="CZ74" s="79">
        <v>746.89999999999975</v>
      </c>
      <c r="DA74" s="79">
        <v>480.69999999999993</v>
      </c>
      <c r="DB74" s="79">
        <v>28.6</v>
      </c>
      <c r="DC74" s="79">
        <v>0</v>
      </c>
      <c r="DD74" s="79">
        <v>0</v>
      </c>
      <c r="DE74" s="79">
        <v>0</v>
      </c>
      <c r="DF74" s="87">
        <v>0</v>
      </c>
      <c r="DG74" s="87">
        <v>0</v>
      </c>
      <c r="DH74" s="87">
        <v>0</v>
      </c>
      <c r="DI74" s="87">
        <v>0</v>
      </c>
      <c r="DJ74" s="87">
        <v>0</v>
      </c>
      <c r="DK74" s="87">
        <v>0</v>
      </c>
      <c r="DL74" s="87">
        <v>14.400000000000002</v>
      </c>
      <c r="DM74" s="87">
        <v>23.9</v>
      </c>
      <c r="DN74" s="87">
        <v>0</v>
      </c>
      <c r="DO74" s="87">
        <v>0</v>
      </c>
      <c r="DP74" s="87">
        <v>0</v>
      </c>
      <c r="DQ74" s="87">
        <v>0</v>
      </c>
      <c r="DR74" s="94">
        <v>23535.299999999977</v>
      </c>
      <c r="DS74" s="94">
        <v>21292.099999999995</v>
      </c>
      <c r="DT74" s="94">
        <v>19972.400000000023</v>
      </c>
      <c r="DU74" s="94">
        <v>15570.099999999986</v>
      </c>
      <c r="DV74" s="94">
        <v>11114.899999999998</v>
      </c>
      <c r="DW74" s="94">
        <v>8195.9000000000069</v>
      </c>
      <c r="DX74" s="94">
        <v>6208.1999999999953</v>
      </c>
      <c r="DY74" s="94">
        <v>7155.7999999999965</v>
      </c>
      <c r="DZ74" s="94">
        <v>10950.400000000003</v>
      </c>
      <c r="EA74" s="94">
        <v>15005.600000000009</v>
      </c>
      <c r="EB74" s="94">
        <v>19095.200000000004</v>
      </c>
      <c r="EC74" s="94">
        <v>22331.999999999989</v>
      </c>
      <c r="ED74" s="225" t="s">
        <v>761</v>
      </c>
      <c r="ES74" s="534">
        <v>18.8</v>
      </c>
      <c r="ET74" s="532">
        <v>13.8</v>
      </c>
      <c r="EU74" s="535">
        <v>29.5</v>
      </c>
      <c r="EV74" s="535">
        <v>21.7</v>
      </c>
      <c r="EW74" s="538">
        <v>7.6</v>
      </c>
      <c r="EX74" s="538">
        <v>5.6</v>
      </c>
    </row>
    <row r="75" spans="1:154" hidden="1">
      <c r="A75" s="66" t="s">
        <v>203</v>
      </c>
      <c r="B75" s="96">
        <v>-1.1269677419354833</v>
      </c>
      <c r="C75" s="97">
        <v>-1.7951428571428572</v>
      </c>
      <c r="D75" s="97">
        <v>3.291225806451612</v>
      </c>
      <c r="E75" s="97">
        <v>8.2302666666666671</v>
      </c>
      <c r="F75" s="97">
        <v>13.523354838709677</v>
      </c>
      <c r="G75" s="97">
        <v>16.799466666666664</v>
      </c>
      <c r="H75" s="97">
        <v>17.664387096774195</v>
      </c>
      <c r="I75" s="97">
        <v>17.538193548387099</v>
      </c>
      <c r="J75" s="97">
        <v>12.666133333333333</v>
      </c>
      <c r="K75" s="97">
        <v>8.7099354838709679</v>
      </c>
      <c r="L75" s="97">
        <v>3.4881333333333329</v>
      </c>
      <c r="M75" s="100">
        <v>-0.26543548387096777</v>
      </c>
      <c r="N75" s="105">
        <v>0.27</v>
      </c>
      <c r="O75" s="105">
        <v>-0.52</v>
      </c>
      <c r="P75" s="105">
        <v>0.88</v>
      </c>
      <c r="Q75" s="105">
        <v>3.08</v>
      </c>
      <c r="R75" s="105">
        <v>8.83</v>
      </c>
      <c r="S75" s="105">
        <v>13.26</v>
      </c>
      <c r="T75" s="105">
        <v>16.260000000000002</v>
      </c>
      <c r="U75" s="105">
        <v>17.170000000000002</v>
      </c>
      <c r="V75" s="105">
        <v>15.62</v>
      </c>
      <c r="W75" s="105">
        <v>12.17</v>
      </c>
      <c r="X75" s="105">
        <v>7.57</v>
      </c>
      <c r="Y75" s="105">
        <v>3.3</v>
      </c>
      <c r="Z75" s="102">
        <v>543</v>
      </c>
      <c r="AA75" s="4">
        <v>1194.7142857142858</v>
      </c>
      <c r="AB75" s="4">
        <v>2213.516129032258</v>
      </c>
      <c r="AC75" s="4">
        <v>3711.9333333333334</v>
      </c>
      <c r="AD75" s="4">
        <v>4985.322580645161</v>
      </c>
      <c r="AE75" s="4">
        <v>4711.7666666666664</v>
      </c>
      <c r="AF75" s="4">
        <v>5056.9677419354839</v>
      </c>
      <c r="AG75" s="4">
        <v>4420.7096774193551</v>
      </c>
      <c r="AH75" s="4">
        <v>3023.3333333333335</v>
      </c>
      <c r="AI75" s="4">
        <v>1602.741935483871</v>
      </c>
      <c r="AJ75" s="4">
        <v>825.9</v>
      </c>
      <c r="AK75" s="23">
        <v>434.32258064516128</v>
      </c>
      <c r="AL75" s="29">
        <v>1105.2914999487405</v>
      </c>
      <c r="AM75" s="6">
        <v>1835.9063180704356</v>
      </c>
      <c r="AN75" s="6">
        <v>2355.7897200276961</v>
      </c>
      <c r="AO75" s="6">
        <v>2739.8423538953957</v>
      </c>
      <c r="AP75" s="6">
        <v>2847.8624981530088</v>
      </c>
      <c r="AQ75" s="6">
        <v>2476.1619796942882</v>
      </c>
      <c r="AR75" s="6">
        <v>2731.0019343706495</v>
      </c>
      <c r="AS75" s="6">
        <v>2922.1433466347949</v>
      </c>
      <c r="AT75" s="6">
        <v>2851.6462790559362</v>
      </c>
      <c r="AU75" s="6">
        <v>2263.1791046857998</v>
      </c>
      <c r="AV75" s="6">
        <v>1738.2924380350805</v>
      </c>
      <c r="AW75" s="30">
        <v>1000.5437644300421</v>
      </c>
      <c r="AX75" s="39">
        <v>855.74938458166525</v>
      </c>
      <c r="AY75" s="8">
        <v>1507.910399721419</v>
      </c>
      <c r="AZ75" s="8">
        <v>2172.2525776989528</v>
      </c>
      <c r="BA75" s="8">
        <v>2915.4152395615251</v>
      </c>
      <c r="BB75" s="8">
        <v>3278.547970809268</v>
      </c>
      <c r="BC75" s="8">
        <v>2841.9390750800239</v>
      </c>
      <c r="BD75" s="8">
        <v>3167.1842874007725</v>
      </c>
      <c r="BE75" s="8">
        <v>3242.5825760108692</v>
      </c>
      <c r="BF75" s="8">
        <v>2790.2137181584562</v>
      </c>
      <c r="BG75" s="8">
        <v>1912.0240322295103</v>
      </c>
      <c r="BH75" s="8">
        <v>1344.7375817731429</v>
      </c>
      <c r="BI75" s="40">
        <v>762.91907010801867</v>
      </c>
      <c r="BJ75" s="49">
        <v>463.66790588516039</v>
      </c>
      <c r="BK75" s="10">
        <v>974.91408563237314</v>
      </c>
      <c r="BL75" s="10">
        <v>1688.6185465293593</v>
      </c>
      <c r="BM75" s="10">
        <v>2670.2570927367483</v>
      </c>
      <c r="BN75" s="10">
        <v>3415.290185863194</v>
      </c>
      <c r="BO75" s="10">
        <v>3106.6048659026965</v>
      </c>
      <c r="BP75" s="10">
        <v>3405.0101462346474</v>
      </c>
      <c r="BQ75" s="10">
        <v>3133.8092723791692</v>
      </c>
      <c r="BR75" s="10">
        <v>2290.8842294347833</v>
      </c>
      <c r="BS75" s="10">
        <v>1299.1816080760491</v>
      </c>
      <c r="BT75" s="10">
        <v>730.7726921587348</v>
      </c>
      <c r="BU75" s="50">
        <v>381.94727640154446</v>
      </c>
      <c r="BV75" s="57">
        <v>224.52532467301859</v>
      </c>
      <c r="BW75" s="12">
        <v>454.06961233202713</v>
      </c>
      <c r="BX75" s="12">
        <v>800.33787464706529</v>
      </c>
      <c r="BY75" s="12">
        <v>1256.9183353161427</v>
      </c>
      <c r="BZ75" s="12">
        <v>1636.171011975232</v>
      </c>
      <c r="CA75" s="12">
        <v>1717.9392995369171</v>
      </c>
      <c r="CB75" s="12">
        <v>1704.1727313125216</v>
      </c>
      <c r="CC75" s="12">
        <v>1425.4916250196752</v>
      </c>
      <c r="CD75" s="12">
        <v>999.66826188572759</v>
      </c>
      <c r="CE75" s="12">
        <v>574.05475046174308</v>
      </c>
      <c r="CF75" s="12">
        <v>306.4882495726572</v>
      </c>
      <c r="CG75" s="63">
        <v>180.26900955376993</v>
      </c>
      <c r="CH75" s="71">
        <v>14960.9</v>
      </c>
      <c r="CI75" s="71">
        <v>13955.900000000005</v>
      </c>
      <c r="CJ75" s="71">
        <v>11626.8</v>
      </c>
      <c r="CK75" s="71">
        <v>7704.7000000000016</v>
      </c>
      <c r="CL75" s="71">
        <v>4242.6000000000013</v>
      </c>
      <c r="CM75" s="71">
        <v>2115.3000000000006</v>
      </c>
      <c r="CN75" s="71">
        <v>2098.8999999999996</v>
      </c>
      <c r="CO75" s="71">
        <v>2034.4999999999993</v>
      </c>
      <c r="CP75" s="71">
        <v>4572.3999999999996</v>
      </c>
      <c r="CQ75" s="71">
        <v>7646.5999999999967</v>
      </c>
      <c r="CR75" s="71">
        <v>11136.599999999993</v>
      </c>
      <c r="CS75" s="71">
        <v>14321.399999999985</v>
      </c>
      <c r="CT75" s="79">
        <v>0</v>
      </c>
      <c r="CU75" s="79">
        <v>0</v>
      </c>
      <c r="CV75" s="79">
        <v>0</v>
      </c>
      <c r="CW75" s="79">
        <v>31.000000000000004</v>
      </c>
      <c r="CX75" s="79">
        <v>273.5</v>
      </c>
      <c r="CY75" s="79">
        <v>625.5</v>
      </c>
      <c r="CZ75" s="79">
        <v>1217.4999999999998</v>
      </c>
      <c r="DA75" s="79">
        <v>1057.3</v>
      </c>
      <c r="DB75" s="79">
        <v>91.8</v>
      </c>
      <c r="DC75" s="79">
        <v>30.999999999999996</v>
      </c>
      <c r="DD75" s="79">
        <v>0</v>
      </c>
      <c r="DE75" s="79">
        <v>0</v>
      </c>
      <c r="DF75" s="87">
        <v>0</v>
      </c>
      <c r="DG75" s="87">
        <v>0</v>
      </c>
      <c r="DH75" s="87">
        <v>0</v>
      </c>
      <c r="DI75" s="87">
        <v>0</v>
      </c>
      <c r="DJ75" s="87">
        <v>0</v>
      </c>
      <c r="DK75" s="87">
        <v>9.3999999999999986</v>
      </c>
      <c r="DL75" s="87">
        <v>119.70000000000002</v>
      </c>
      <c r="DM75" s="87">
        <v>53.5</v>
      </c>
      <c r="DN75" s="87">
        <v>0</v>
      </c>
      <c r="DO75" s="87">
        <v>0</v>
      </c>
      <c r="DP75" s="87">
        <v>0</v>
      </c>
      <c r="DQ75" s="87">
        <v>0</v>
      </c>
      <c r="DR75" s="94">
        <v>20168.900000000001</v>
      </c>
      <c r="DS75" s="94">
        <v>18659.899999999998</v>
      </c>
      <c r="DT75" s="94">
        <v>16834.8</v>
      </c>
      <c r="DU75" s="94">
        <v>12713.7</v>
      </c>
      <c r="DV75" s="94">
        <v>9177.0999999999913</v>
      </c>
      <c r="DW75" s="94">
        <v>6539.1999999999962</v>
      </c>
      <c r="DX75" s="94">
        <v>6209.0999999999967</v>
      </c>
      <c r="DY75" s="94">
        <v>6238.7</v>
      </c>
      <c r="DZ75" s="94">
        <v>9520.5999999999985</v>
      </c>
      <c r="EA75" s="94">
        <v>12823.599999999999</v>
      </c>
      <c r="EB75" s="94">
        <v>16176.599999999988</v>
      </c>
      <c r="EC75" s="94">
        <v>19529.399999999983</v>
      </c>
      <c r="ED75" s="225" t="s">
        <v>761</v>
      </c>
      <c r="ES75" s="534">
        <v>18.8</v>
      </c>
      <c r="ET75" s="532">
        <v>13.8</v>
      </c>
      <c r="EU75" s="535">
        <v>29.5</v>
      </c>
      <c r="EV75" s="535">
        <v>21.7</v>
      </c>
      <c r="EW75" s="538">
        <v>7.6</v>
      </c>
      <c r="EX75" s="538">
        <v>5.6</v>
      </c>
    </row>
    <row r="76" spans="1:154" hidden="1">
      <c r="A76" s="66"/>
      <c r="B76" s="96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100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2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23"/>
      <c r="AL76" s="29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30"/>
      <c r="AX76" s="39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40"/>
      <c r="BJ76" s="49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50"/>
      <c r="BV76" s="57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63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225"/>
      <c r="ES76" s="532"/>
      <c r="ET76" s="532"/>
      <c r="EU76" s="535"/>
      <c r="EV76" s="535"/>
      <c r="EW76" s="538"/>
      <c r="EX76" s="538"/>
    </row>
    <row r="77" spans="1:154" hidden="1">
      <c r="A77" s="66" t="s">
        <v>443</v>
      </c>
      <c r="B77" s="96">
        <v>4.2514838709677418</v>
      </c>
      <c r="C77" s="97">
        <v>5.971000000000001</v>
      </c>
      <c r="D77" s="97">
        <v>9.1699354838709652</v>
      </c>
      <c r="E77" s="97">
        <v>10.728533333333331</v>
      </c>
      <c r="F77" s="97">
        <v>12.829032258064514</v>
      </c>
      <c r="G77" s="97">
        <v>17.49026666666667</v>
      </c>
      <c r="H77" s="97">
        <v>21.58309677419355</v>
      </c>
      <c r="I77" s="97">
        <v>20.89096774193548</v>
      </c>
      <c r="J77" s="97">
        <v>17.330400000000001</v>
      </c>
      <c r="K77" s="97">
        <v>13.121677419354839</v>
      </c>
      <c r="L77" s="97">
        <v>8.3464000000000009</v>
      </c>
      <c r="M77" s="100">
        <v>5.5685268817204294</v>
      </c>
      <c r="N77" s="105">
        <v>5.21</v>
      </c>
      <c r="O77" s="105">
        <v>4.5</v>
      </c>
      <c r="P77" s="105">
        <v>5.75</v>
      </c>
      <c r="Q77" s="105">
        <v>7.71</v>
      </c>
      <c r="R77" s="105">
        <v>12.82</v>
      </c>
      <c r="S77" s="105">
        <v>16.77</v>
      </c>
      <c r="T77" s="105">
        <v>19.43</v>
      </c>
      <c r="U77" s="105">
        <v>20.239999999999998</v>
      </c>
      <c r="V77" s="105">
        <v>18.86</v>
      </c>
      <c r="W77" s="105">
        <v>15.8</v>
      </c>
      <c r="X77" s="105">
        <v>11.7</v>
      </c>
      <c r="Y77" s="105">
        <v>7.9</v>
      </c>
      <c r="Z77" s="102">
        <v>1658.3225806451612</v>
      </c>
      <c r="AA77" s="4">
        <v>2580.8214285714284</v>
      </c>
      <c r="AB77" s="4">
        <v>4254.7741935483873</v>
      </c>
      <c r="AC77" s="4">
        <v>4867.4666666666662</v>
      </c>
      <c r="AD77" s="4">
        <v>5816.7096774193551</v>
      </c>
      <c r="AE77" s="4">
        <v>7296.6</v>
      </c>
      <c r="AF77" s="4">
        <v>7376.8064516129034</v>
      </c>
      <c r="AG77" s="4">
        <v>6383.7741935483873</v>
      </c>
      <c r="AH77" s="4">
        <v>5042.3999999999996</v>
      </c>
      <c r="AI77" s="4">
        <v>3073.8064516129034</v>
      </c>
      <c r="AJ77" s="4">
        <v>2097</v>
      </c>
      <c r="AK77" s="23">
        <v>1359.1935483870968</v>
      </c>
      <c r="AL77" s="29">
        <v>2810.5976350162964</v>
      </c>
      <c r="AM77" s="6">
        <v>3370.0810299767768</v>
      </c>
      <c r="AN77" s="6">
        <v>4016.7148765413008</v>
      </c>
      <c r="AO77" s="6">
        <v>2984.2392706990213</v>
      </c>
      <c r="AP77" s="6">
        <v>2708.892256341233</v>
      </c>
      <c r="AQ77" s="6">
        <v>2847.3393001639574</v>
      </c>
      <c r="AR77" s="6">
        <v>3010.1753716199128</v>
      </c>
      <c r="AS77" s="6">
        <v>3404.1360890328669</v>
      </c>
      <c r="AT77" s="6">
        <v>4048.2890553565048</v>
      </c>
      <c r="AU77" s="6">
        <v>3648.8737401820858</v>
      </c>
      <c r="AV77" s="6">
        <v>3503.6061782532001</v>
      </c>
      <c r="AW77" s="30">
        <v>2417.8365878519294</v>
      </c>
      <c r="AX77" s="39">
        <v>2217.6310458295361</v>
      </c>
      <c r="AY77" s="8">
        <v>2844.2347569695812</v>
      </c>
      <c r="AZ77" s="8">
        <v>3841.3689562387463</v>
      </c>
      <c r="BA77" s="8">
        <v>3387.6888044996117</v>
      </c>
      <c r="BB77" s="8">
        <v>3418.1003182400509</v>
      </c>
      <c r="BC77" s="8">
        <v>3903.7946191236124</v>
      </c>
      <c r="BD77" s="8">
        <v>4100.2163845085424</v>
      </c>
      <c r="BE77" s="8">
        <v>4181.0126379903559</v>
      </c>
      <c r="BF77" s="8">
        <v>4176.0784128192627</v>
      </c>
      <c r="BG77" s="8">
        <v>3183.6824584779024</v>
      </c>
      <c r="BH77" s="8">
        <v>2784.014804762121</v>
      </c>
      <c r="BI77" s="40">
        <v>1887.3698812373943</v>
      </c>
      <c r="BJ77" s="49">
        <v>1308.0758089501592</v>
      </c>
      <c r="BK77" s="10">
        <v>1947.0210258055752</v>
      </c>
      <c r="BL77" s="10">
        <v>3077.4182243688324</v>
      </c>
      <c r="BM77" s="10">
        <v>3268.9778671018394</v>
      </c>
      <c r="BN77" s="10">
        <v>3750.7086278761035</v>
      </c>
      <c r="BO77" s="10">
        <v>4649.912698226769</v>
      </c>
      <c r="BP77" s="10">
        <v>4756.1496291313188</v>
      </c>
      <c r="BQ77" s="10">
        <v>4275.2388793002292</v>
      </c>
      <c r="BR77" s="10">
        <v>3580.6214066267194</v>
      </c>
      <c r="BS77" s="10">
        <v>2290.8145601281694</v>
      </c>
      <c r="BT77" s="10">
        <v>1667.4813183110098</v>
      </c>
      <c r="BU77" s="50">
        <v>1076.4227962826833</v>
      </c>
      <c r="BV77" s="57">
        <v>541.90009270493829</v>
      </c>
      <c r="BW77" s="12">
        <v>791.13361519968532</v>
      </c>
      <c r="BX77" s="12">
        <v>1139.4059289278291</v>
      </c>
      <c r="BY77" s="12">
        <v>1457.9943984152628</v>
      </c>
      <c r="BZ77" s="12">
        <v>1723.661436259076</v>
      </c>
      <c r="CA77" s="12">
        <v>1858.0979775531591</v>
      </c>
      <c r="CB77" s="12">
        <v>1794.3494943965006</v>
      </c>
      <c r="CC77" s="12">
        <v>1585.5377266735031</v>
      </c>
      <c r="CD77" s="12">
        <v>1265.9882476436701</v>
      </c>
      <c r="CE77" s="12">
        <v>896.58892576166431</v>
      </c>
      <c r="CF77" s="12">
        <v>622.34286996789967</v>
      </c>
      <c r="CG77" s="63">
        <v>466.30938897421203</v>
      </c>
      <c r="CH77" s="71">
        <v>10938.4</v>
      </c>
      <c r="CI77" s="71">
        <v>8722.4999999999964</v>
      </c>
      <c r="CJ77" s="71">
        <v>7307.800000000002</v>
      </c>
      <c r="CK77" s="71">
        <v>6007.7000000000035</v>
      </c>
      <c r="CL77" s="71">
        <v>4900.9000000000051</v>
      </c>
      <c r="CM77" s="71">
        <v>2100.6000000000004</v>
      </c>
      <c r="CN77" s="71">
        <v>906.60000000000048</v>
      </c>
      <c r="CO77" s="71">
        <v>1261.7999999999988</v>
      </c>
      <c r="CP77" s="71">
        <v>2043.7000000000007</v>
      </c>
      <c r="CQ77" s="71">
        <v>4499.2999999999993</v>
      </c>
      <c r="CR77" s="71">
        <v>7629.199999999998</v>
      </c>
      <c r="CS77" s="71">
        <v>9961.6</v>
      </c>
      <c r="CT77" s="79">
        <v>0</v>
      </c>
      <c r="CU77" s="79">
        <v>0</v>
      </c>
      <c r="CV77" s="79">
        <v>57.600000000000016</v>
      </c>
      <c r="CW77" s="79">
        <v>110.09999999999998</v>
      </c>
      <c r="CX77" s="79">
        <v>376.49999999999989</v>
      </c>
      <c r="CY77" s="79">
        <v>1105.9000000000001</v>
      </c>
      <c r="CZ77" s="79">
        <v>2936.8000000000025</v>
      </c>
      <c r="DA77" s="79">
        <v>2766.7000000000007</v>
      </c>
      <c r="DB77" s="79">
        <v>935.19999999999993</v>
      </c>
      <c r="DC77" s="79">
        <v>193.49999999999989</v>
      </c>
      <c r="DD77" s="79">
        <v>3.2000000000000028</v>
      </c>
      <c r="DE77" s="79">
        <v>0</v>
      </c>
      <c r="DF77" s="87">
        <v>0</v>
      </c>
      <c r="DG77" s="87">
        <v>0</v>
      </c>
      <c r="DH77" s="87">
        <v>0</v>
      </c>
      <c r="DI77" s="87">
        <v>0</v>
      </c>
      <c r="DJ77" s="87">
        <v>5.6000000000000014</v>
      </c>
      <c r="DK77" s="87">
        <v>99.9</v>
      </c>
      <c r="DL77" s="87">
        <v>643.19999999999959</v>
      </c>
      <c r="DM77" s="87">
        <v>669.40000000000009</v>
      </c>
      <c r="DN77" s="87">
        <v>36.500000000000007</v>
      </c>
      <c r="DO77" s="87">
        <v>0.19999999999999929</v>
      </c>
      <c r="DP77" s="87">
        <v>0</v>
      </c>
      <c r="DQ77" s="87">
        <v>0</v>
      </c>
      <c r="DR77" s="94">
        <v>16146.399999999994</v>
      </c>
      <c r="DS77" s="94">
        <v>13426.499999999987</v>
      </c>
      <c r="DT77" s="94">
        <v>12458.199999999995</v>
      </c>
      <c r="DU77" s="94">
        <v>10937.599999999982</v>
      </c>
      <c r="DV77" s="94">
        <v>9737.9999999999909</v>
      </c>
      <c r="DW77" s="94">
        <v>6134.5999999999958</v>
      </c>
      <c r="DX77" s="94">
        <v>3820.9999999999977</v>
      </c>
      <c r="DY77" s="94">
        <v>4372.5000000000027</v>
      </c>
      <c r="DZ77" s="94">
        <v>6184.9999999999955</v>
      </c>
      <c r="EA77" s="94">
        <v>9513.9999999999891</v>
      </c>
      <c r="EB77" s="94">
        <v>12666</v>
      </c>
      <c r="EC77" s="94">
        <v>15169.6</v>
      </c>
      <c r="ED77" s="225" t="s">
        <v>444</v>
      </c>
      <c r="ES77" s="534">
        <v>18.8</v>
      </c>
      <c r="ET77" s="532">
        <v>13.8</v>
      </c>
      <c r="EU77" s="535">
        <v>29.5</v>
      </c>
      <c r="EV77" s="535">
        <v>21.7</v>
      </c>
      <c r="EW77" s="538">
        <v>7.6</v>
      </c>
      <c r="EX77" s="538">
        <v>5.6</v>
      </c>
    </row>
    <row r="78" spans="1:154" hidden="1">
      <c r="A78" s="66" t="s">
        <v>445</v>
      </c>
      <c r="B78" s="96">
        <v>9.524387096774193</v>
      </c>
      <c r="C78" s="97">
        <v>10.941857142857144</v>
      </c>
      <c r="D78" s="97">
        <v>12.64051612903226</v>
      </c>
      <c r="E78" s="97">
        <v>13.011466666666669</v>
      </c>
      <c r="F78" s="97">
        <v>15.463999999999995</v>
      </c>
      <c r="G78" s="97">
        <v>18.858533333333334</v>
      </c>
      <c r="H78" s="97">
        <v>20.70916129032258</v>
      </c>
      <c r="I78" s="97">
        <v>20.91432258064517</v>
      </c>
      <c r="J78" s="97">
        <v>20.483200000000004</v>
      </c>
      <c r="K78" s="97">
        <v>16.814193548387102</v>
      </c>
      <c r="L78" s="97">
        <v>12.133600000000003</v>
      </c>
      <c r="M78" s="100">
        <v>11.19502688172043</v>
      </c>
      <c r="N78" s="105">
        <v>14.71</v>
      </c>
      <c r="O78" s="105">
        <v>12.17</v>
      </c>
      <c r="P78" s="105">
        <v>10.61</v>
      </c>
      <c r="Q78" s="105">
        <v>10.14</v>
      </c>
      <c r="R78" s="105">
        <v>11.07</v>
      </c>
      <c r="S78" s="105">
        <v>13.18</v>
      </c>
      <c r="T78" s="105">
        <v>15.8</v>
      </c>
      <c r="U78" s="105">
        <v>18.37</v>
      </c>
      <c r="V78" s="105">
        <v>20.09</v>
      </c>
      <c r="W78" s="105">
        <v>20.49</v>
      </c>
      <c r="X78" s="105">
        <v>19.489999999999998</v>
      </c>
      <c r="Y78" s="105">
        <v>17.420000000000002</v>
      </c>
      <c r="Z78" s="102">
        <v>2093.2903225806454</v>
      </c>
      <c r="AA78" s="4">
        <v>2606.0357142857142</v>
      </c>
      <c r="AB78" s="4">
        <v>4083.9677419354839</v>
      </c>
      <c r="AC78" s="4">
        <v>5329.9333333333334</v>
      </c>
      <c r="AD78" s="4">
        <v>5801.6129032258068</v>
      </c>
      <c r="AE78" s="4">
        <v>6686.8666666666668</v>
      </c>
      <c r="AF78" s="4">
        <v>6819.1935483870966</v>
      </c>
      <c r="AG78" s="4">
        <v>6272.9677419354839</v>
      </c>
      <c r="AH78" s="4">
        <v>4786.8666666666668</v>
      </c>
      <c r="AI78" s="4">
        <v>3327.6774193548385</v>
      </c>
      <c r="AJ78" s="4">
        <v>2043</v>
      </c>
      <c r="AK78" s="23">
        <v>1679.258064516129</v>
      </c>
      <c r="AL78" s="29">
        <v>3617.669510740765</v>
      </c>
      <c r="AM78" s="6">
        <v>3206.831489744151</v>
      </c>
      <c r="AN78" s="6">
        <v>3644.2403574579025</v>
      </c>
      <c r="AO78" s="6">
        <v>3159.1038084037937</v>
      </c>
      <c r="AP78" s="6">
        <v>2618.9124263029312</v>
      </c>
      <c r="AQ78" s="6">
        <v>2607.3158896882223</v>
      </c>
      <c r="AR78" s="6">
        <v>2755.7381898615818</v>
      </c>
      <c r="AS78" s="6">
        <v>3227.858907491297</v>
      </c>
      <c r="AT78" s="6">
        <v>3652.1667124738506</v>
      </c>
      <c r="AU78" s="6">
        <v>3836.4986511952252</v>
      </c>
      <c r="AV78" s="6">
        <v>3109.59679477592</v>
      </c>
      <c r="AW78" s="30">
        <v>3003.0274683118541</v>
      </c>
      <c r="AX78" s="39">
        <v>2843.6815844645148</v>
      </c>
      <c r="AY78" s="8">
        <v>2734.2259827382736</v>
      </c>
      <c r="AZ78" s="8">
        <v>3522.243717748443</v>
      </c>
      <c r="BA78" s="8">
        <v>3656.6917473665535</v>
      </c>
      <c r="BB78" s="8">
        <v>3348.6114698929546</v>
      </c>
      <c r="BC78" s="8">
        <v>3542.6287099308447</v>
      </c>
      <c r="BD78" s="8">
        <v>3735.8463330257514</v>
      </c>
      <c r="BE78" s="8">
        <v>4009.6639898242802</v>
      </c>
      <c r="BF78" s="8">
        <v>3802.4424624748199</v>
      </c>
      <c r="BG78" s="8">
        <v>3367.9226282638228</v>
      </c>
      <c r="BH78" s="8">
        <v>2504.5014570523335</v>
      </c>
      <c r="BI78" s="40">
        <v>2339.3701419583172</v>
      </c>
      <c r="BJ78" s="49">
        <v>1658.0372907389694</v>
      </c>
      <c r="BK78" s="10">
        <v>1919.0930078860449</v>
      </c>
      <c r="BL78" s="10">
        <v>2884.6370139852102</v>
      </c>
      <c r="BM78" s="10">
        <v>3561.3620187301326</v>
      </c>
      <c r="BN78" s="10">
        <v>3707.1837937819128</v>
      </c>
      <c r="BO78" s="10">
        <v>4210.0852284885314</v>
      </c>
      <c r="BP78" s="10">
        <v>4338.9479622813187</v>
      </c>
      <c r="BQ78" s="10">
        <v>4145.2241528946088</v>
      </c>
      <c r="BR78" s="10">
        <v>3323.8027390360326</v>
      </c>
      <c r="BS78" s="10">
        <v>2448.4308435616413</v>
      </c>
      <c r="BT78" s="10">
        <v>1564.6777178845764</v>
      </c>
      <c r="BU78" s="50">
        <v>1328.616993807738</v>
      </c>
      <c r="BV78" s="57">
        <v>613.2305178107365</v>
      </c>
      <c r="BW78" s="12">
        <v>820.03712965721309</v>
      </c>
      <c r="BX78" s="12">
        <v>1160.2418758199506</v>
      </c>
      <c r="BY78" s="12">
        <v>1496.9726643069152</v>
      </c>
      <c r="BZ78" s="12">
        <v>1725.2515606323777</v>
      </c>
      <c r="CA78" s="12">
        <v>1850.8953658242401</v>
      </c>
      <c r="CB78" s="12">
        <v>1801.3384773442126</v>
      </c>
      <c r="CC78" s="12">
        <v>1599.7742996674638</v>
      </c>
      <c r="CD78" s="12">
        <v>1289.175352335764</v>
      </c>
      <c r="CE78" s="12">
        <v>941.28227450551606</v>
      </c>
      <c r="CF78" s="12">
        <v>645.03115351933434</v>
      </c>
      <c r="CG78" s="63">
        <v>531.97550820876745</v>
      </c>
      <c r="CH78" s="71">
        <v>7004.2000000000062</v>
      </c>
      <c r="CI78" s="71">
        <v>5379.5999999999958</v>
      </c>
      <c r="CJ78" s="71">
        <v>4764.6000000000031</v>
      </c>
      <c r="CK78" s="71">
        <v>4388.6999999999971</v>
      </c>
      <c r="CL78" s="71">
        <v>2966.0000000000014</v>
      </c>
      <c r="CM78" s="71">
        <v>1159.0000000000002</v>
      </c>
      <c r="CN78" s="71">
        <v>704.60000000000025</v>
      </c>
      <c r="CO78" s="71">
        <v>892.3</v>
      </c>
      <c r="CP78" s="71">
        <v>614.20000000000039</v>
      </c>
      <c r="CQ78" s="71">
        <v>2114.0999999999995</v>
      </c>
      <c r="CR78" s="71">
        <v>5001.0000000000055</v>
      </c>
      <c r="CS78" s="71">
        <v>5777.6</v>
      </c>
      <c r="CT78" s="79">
        <v>2</v>
      </c>
      <c r="CU78" s="79">
        <v>10.3</v>
      </c>
      <c r="CV78" s="79">
        <v>93.400000000000034</v>
      </c>
      <c r="CW78" s="79">
        <v>155.10000000000005</v>
      </c>
      <c r="CX78" s="79">
        <v>429.99999999999983</v>
      </c>
      <c r="CY78" s="79">
        <v>1147.6999999999998</v>
      </c>
      <c r="CZ78" s="79">
        <v>2076.6000000000008</v>
      </c>
      <c r="DA78" s="79">
        <v>2422.3999999999987</v>
      </c>
      <c r="DB78" s="79">
        <v>1766.0999999999992</v>
      </c>
      <c r="DC78" s="79">
        <v>554.2000000000005</v>
      </c>
      <c r="DD78" s="79">
        <v>102.70000000000002</v>
      </c>
      <c r="DE78" s="79">
        <v>0</v>
      </c>
      <c r="DF78" s="87">
        <v>0</v>
      </c>
      <c r="DG78" s="87">
        <v>0</v>
      </c>
      <c r="DH78" s="87">
        <v>0</v>
      </c>
      <c r="DI78" s="87">
        <v>0</v>
      </c>
      <c r="DJ78" s="87">
        <v>2.4000000000000021</v>
      </c>
      <c r="DK78" s="87">
        <v>69.40000000000002</v>
      </c>
      <c r="DL78" s="87">
        <v>365.40000000000003</v>
      </c>
      <c r="DM78" s="87">
        <v>470.70000000000016</v>
      </c>
      <c r="DN78" s="87">
        <v>152.89999999999998</v>
      </c>
      <c r="DO78" s="87">
        <v>18.500000000000011</v>
      </c>
      <c r="DP78" s="87">
        <v>0</v>
      </c>
      <c r="DQ78" s="87">
        <v>0</v>
      </c>
      <c r="DR78" s="94">
        <v>12210.199999999999</v>
      </c>
      <c r="DS78" s="94">
        <v>10073.300000000007</v>
      </c>
      <c r="DT78" s="94">
        <v>9879.2000000000098</v>
      </c>
      <c r="DU78" s="94">
        <v>9273.6</v>
      </c>
      <c r="DV78" s="94">
        <v>7746.3999999999978</v>
      </c>
      <c r="DW78" s="94">
        <v>5120.7000000000016</v>
      </c>
      <c r="DX78" s="94">
        <v>4201.3999999999969</v>
      </c>
      <c r="DY78" s="94">
        <v>4148.5999999999985</v>
      </c>
      <c r="DZ78" s="94">
        <v>4040.9999999999991</v>
      </c>
      <c r="EA78" s="94">
        <v>6786.3999999999987</v>
      </c>
      <c r="EB78" s="94">
        <v>9938.2999999999829</v>
      </c>
      <c r="EC78" s="94">
        <v>10985.6</v>
      </c>
      <c r="ED78" s="225" t="s">
        <v>444</v>
      </c>
      <c r="ES78" s="534">
        <v>18.8</v>
      </c>
      <c r="ET78" s="532">
        <v>13.8</v>
      </c>
      <c r="EU78" s="535">
        <v>29.5</v>
      </c>
      <c r="EV78" s="535">
        <v>21.7</v>
      </c>
      <c r="EW78" s="538">
        <v>7.6</v>
      </c>
      <c r="EX78" s="538">
        <v>5.6</v>
      </c>
    </row>
    <row r="79" spans="1:154" hidden="1">
      <c r="A79" s="66" t="s">
        <v>446</v>
      </c>
      <c r="B79" s="96">
        <v>8.796129032258067</v>
      </c>
      <c r="C79" s="97">
        <v>10.179857142857141</v>
      </c>
      <c r="D79" s="97">
        <v>12.369806451612899</v>
      </c>
      <c r="E79" s="97">
        <v>13.140800000000004</v>
      </c>
      <c r="F79" s="97">
        <v>17.08258064516129</v>
      </c>
      <c r="G79" s="97">
        <v>19.667999999999999</v>
      </c>
      <c r="H79" s="97">
        <v>22.562193548387093</v>
      </c>
      <c r="I79" s="97">
        <v>22.88490322580645</v>
      </c>
      <c r="J79" s="97">
        <v>21.86493333333333</v>
      </c>
      <c r="K79" s="97">
        <v>17.160774193548384</v>
      </c>
      <c r="L79" s="97">
        <v>12.041066666666666</v>
      </c>
      <c r="M79" s="100">
        <v>10.448548387096775</v>
      </c>
      <c r="N79" s="105">
        <v>9.9499999999999993</v>
      </c>
      <c r="O79" s="105">
        <v>9.3800000000000008</v>
      </c>
      <c r="P79" s="105">
        <v>10.39</v>
      </c>
      <c r="Q79" s="105">
        <v>11.99</v>
      </c>
      <c r="R79" s="105">
        <v>16.149999999999999</v>
      </c>
      <c r="S79" s="105">
        <v>19.37</v>
      </c>
      <c r="T79" s="105">
        <v>21.54</v>
      </c>
      <c r="U79" s="105">
        <v>22.2</v>
      </c>
      <c r="V79" s="105">
        <v>21.07</v>
      </c>
      <c r="W79" s="105">
        <v>18.579999999999998</v>
      </c>
      <c r="X79" s="105">
        <v>15.24</v>
      </c>
      <c r="Y79" s="105">
        <v>12.14</v>
      </c>
      <c r="Z79" s="102">
        <v>2237</v>
      </c>
      <c r="AA79" s="4">
        <v>2891.0357142857142</v>
      </c>
      <c r="AB79" s="4">
        <v>4757.5161290322585</v>
      </c>
      <c r="AC79" s="4">
        <v>5292.666666666667</v>
      </c>
      <c r="AD79" s="4">
        <v>6770.2903225806449</v>
      </c>
      <c r="AE79" s="4">
        <v>7077.2333333333336</v>
      </c>
      <c r="AF79" s="4">
        <v>7452.1935483870966</v>
      </c>
      <c r="AG79" s="4">
        <v>6719.7419354838712</v>
      </c>
      <c r="AH79" s="4">
        <v>5040.1333333333332</v>
      </c>
      <c r="AI79" s="4">
        <v>3532.1290322580644</v>
      </c>
      <c r="AJ79" s="4">
        <v>2292.1</v>
      </c>
      <c r="AK79" s="23">
        <v>1852.4193548387098</v>
      </c>
      <c r="AL79" s="29">
        <v>3657.0674020689758</v>
      </c>
      <c r="AM79" s="6">
        <v>3479.4285302817052</v>
      </c>
      <c r="AN79" s="6">
        <v>4203.432615310624</v>
      </c>
      <c r="AO79" s="6">
        <v>3027.8544783334401</v>
      </c>
      <c r="AP79" s="6">
        <v>2816.7418079612016</v>
      </c>
      <c r="AQ79" s="6">
        <v>2587.1207233969949</v>
      </c>
      <c r="AR79" s="6">
        <v>2786.4375303044021</v>
      </c>
      <c r="AS79" s="6">
        <v>3290.6431942449562</v>
      </c>
      <c r="AT79" s="6">
        <v>3716.8978549915537</v>
      </c>
      <c r="AU79" s="6">
        <v>3928.5970073281778</v>
      </c>
      <c r="AV79" s="6">
        <v>3394.2563211133383</v>
      </c>
      <c r="AW79" s="30">
        <v>3161.1269747707047</v>
      </c>
      <c r="AX79" s="39">
        <v>2895.6666324058297</v>
      </c>
      <c r="AY79" s="8">
        <v>2979.9226368386908</v>
      </c>
      <c r="AZ79" s="8">
        <v>4095.8025653454588</v>
      </c>
      <c r="BA79" s="8">
        <v>3544.1676180666682</v>
      </c>
      <c r="BB79" s="8">
        <v>3809.4383780884505</v>
      </c>
      <c r="BC79" s="8">
        <v>3656.7073399753626</v>
      </c>
      <c r="BD79" s="8">
        <v>3971.4986596174949</v>
      </c>
      <c r="BE79" s="8">
        <v>4206.5471459666405</v>
      </c>
      <c r="BF79" s="8">
        <v>3917.5500013956116</v>
      </c>
      <c r="BG79" s="8">
        <v>3474.6700675357752</v>
      </c>
      <c r="BH79" s="8">
        <v>2744.1920432562615</v>
      </c>
      <c r="BI79" s="40">
        <v>2476.1733271005592</v>
      </c>
      <c r="BJ79" s="49">
        <v>1730.4096811152049</v>
      </c>
      <c r="BK79" s="10">
        <v>2107.5635754388477</v>
      </c>
      <c r="BL79" s="10">
        <v>3355.5725035959404</v>
      </c>
      <c r="BM79" s="10">
        <v>3492.8084864390321</v>
      </c>
      <c r="BN79" s="10">
        <v>4318.8837819969576</v>
      </c>
      <c r="BO79" s="10">
        <v>4429.1690507182138</v>
      </c>
      <c r="BP79" s="10">
        <v>4717.2713945563373</v>
      </c>
      <c r="BQ79" s="10">
        <v>4409.6732396042753</v>
      </c>
      <c r="BR79" s="10">
        <v>3462.2724318644705</v>
      </c>
      <c r="BS79" s="10">
        <v>2560.3604202801826</v>
      </c>
      <c r="BT79" s="10">
        <v>1733.0291372758763</v>
      </c>
      <c r="BU79" s="50">
        <v>1436.4818336283129</v>
      </c>
      <c r="BV79" s="57">
        <v>655.47934543096051</v>
      </c>
      <c r="BW79" s="12">
        <v>873.68329581555179</v>
      </c>
      <c r="BX79" s="12">
        <v>1207.3358688919277</v>
      </c>
      <c r="BY79" s="12">
        <v>1510.1214324125019</v>
      </c>
      <c r="BZ79" s="12">
        <v>1754.939072853138</v>
      </c>
      <c r="CA79" s="12">
        <v>1850.456913012622</v>
      </c>
      <c r="CB79" s="12">
        <v>1790.6084847209543</v>
      </c>
      <c r="CC79" s="12">
        <v>1604.0085203302372</v>
      </c>
      <c r="CD79" s="12">
        <v>1318.7648107017446</v>
      </c>
      <c r="CE79" s="12">
        <v>982.20089573878931</v>
      </c>
      <c r="CF79" s="12">
        <v>697.54257943628909</v>
      </c>
      <c r="CG79" s="63">
        <v>577.85054977251195</v>
      </c>
      <c r="CH79" s="71">
        <v>7560.1000000000085</v>
      </c>
      <c r="CI79" s="71">
        <v>5896.5000000000009</v>
      </c>
      <c r="CJ79" s="71">
        <v>4932.5999999999931</v>
      </c>
      <c r="CK79" s="71">
        <v>4221.400000000006</v>
      </c>
      <c r="CL79" s="71">
        <v>2149.5000000000005</v>
      </c>
      <c r="CM79" s="71">
        <v>1238.4000000000001</v>
      </c>
      <c r="CN79" s="71">
        <v>618.9000000000002</v>
      </c>
      <c r="CO79" s="71">
        <v>521.00000000000023</v>
      </c>
      <c r="CP79" s="71">
        <v>699.40000000000009</v>
      </c>
      <c r="CQ79" s="71">
        <v>2101.699999999998</v>
      </c>
      <c r="CR79" s="71">
        <v>4980.3000000000038</v>
      </c>
      <c r="CS79" s="71">
        <v>6332.3000000000084</v>
      </c>
      <c r="CT79" s="79">
        <v>0</v>
      </c>
      <c r="CU79" s="79">
        <v>0.39999999999999858</v>
      </c>
      <c r="CV79" s="79">
        <v>72.900000000000006</v>
      </c>
      <c r="CW79" s="79">
        <v>62.999999999999993</v>
      </c>
      <c r="CX79" s="79">
        <v>814.89999999999964</v>
      </c>
      <c r="CY79" s="79">
        <v>1828.6999999999989</v>
      </c>
      <c r="CZ79" s="79">
        <v>3392.0999999999995</v>
      </c>
      <c r="DA79" s="79">
        <v>3523.0000000000032</v>
      </c>
      <c r="DB79" s="79">
        <v>2846.6999999999989</v>
      </c>
      <c r="DC79" s="79">
        <v>789.80000000000007</v>
      </c>
      <c r="DD79" s="79">
        <v>12.599999999999991</v>
      </c>
      <c r="DE79" s="79">
        <v>0</v>
      </c>
      <c r="DF79" s="87">
        <v>0</v>
      </c>
      <c r="DG79" s="87">
        <v>0</v>
      </c>
      <c r="DH79" s="87">
        <v>0</v>
      </c>
      <c r="DI79" s="87">
        <v>0</v>
      </c>
      <c r="DJ79" s="87">
        <v>60.90000000000002</v>
      </c>
      <c r="DK79" s="87">
        <v>338.3</v>
      </c>
      <c r="DL79" s="87">
        <v>879.39999999999986</v>
      </c>
      <c r="DM79" s="87">
        <v>892.6</v>
      </c>
      <c r="DN79" s="87">
        <v>616.79999999999995</v>
      </c>
      <c r="DO79" s="87">
        <v>37.999999999999986</v>
      </c>
      <c r="DP79" s="87">
        <v>0</v>
      </c>
      <c r="DQ79" s="87">
        <v>0</v>
      </c>
      <c r="DR79" s="94">
        <v>12768.099999999993</v>
      </c>
      <c r="DS79" s="94">
        <v>10600.100000000011</v>
      </c>
      <c r="DT79" s="94">
        <v>10067.699999999999</v>
      </c>
      <c r="DU79" s="94">
        <v>9198.4000000000033</v>
      </c>
      <c r="DV79" s="94">
        <v>6603.5000000000036</v>
      </c>
      <c r="DW79" s="94">
        <v>4787.9999999999927</v>
      </c>
      <c r="DX79" s="94">
        <v>3314.2</v>
      </c>
      <c r="DY79" s="94">
        <v>3098.5999999999985</v>
      </c>
      <c r="DZ79" s="94">
        <v>3509.5000000000005</v>
      </c>
      <c r="EA79" s="94">
        <v>6557.8999999999987</v>
      </c>
      <c r="EB79" s="94">
        <v>10007.69999999999</v>
      </c>
      <c r="EC79" s="94">
        <v>11540.300000000005</v>
      </c>
      <c r="ED79" s="225" t="s">
        <v>444</v>
      </c>
      <c r="ES79" s="534">
        <v>18.8</v>
      </c>
      <c r="ET79" s="532">
        <v>13.8</v>
      </c>
      <c r="EU79" s="535">
        <v>29.5</v>
      </c>
      <c r="EV79" s="535">
        <v>21.7</v>
      </c>
      <c r="EW79" s="538">
        <v>7.6</v>
      </c>
      <c r="EX79" s="538">
        <v>5.6</v>
      </c>
    </row>
    <row r="80" spans="1:154" hidden="1">
      <c r="A80" s="66" t="s">
        <v>447</v>
      </c>
      <c r="B80" s="96">
        <v>11.706322580645161</v>
      </c>
      <c r="C80" s="97">
        <v>12.372142857142858</v>
      </c>
      <c r="D80" s="97">
        <v>14.680516129032256</v>
      </c>
      <c r="E80" s="97">
        <v>15.6576</v>
      </c>
      <c r="F80" s="97">
        <v>18.495483870967742</v>
      </c>
      <c r="G80" s="97">
        <v>21.029066666666672</v>
      </c>
      <c r="H80" s="97">
        <v>23.810838709677419</v>
      </c>
      <c r="I80" s="97">
        <v>23.637548387096782</v>
      </c>
      <c r="J80" s="97">
        <v>21.731866666666672</v>
      </c>
      <c r="K80" s="97">
        <v>20.097806451612897</v>
      </c>
      <c r="L80" s="97">
        <v>15.460000000000004</v>
      </c>
      <c r="M80" s="100">
        <v>13.174666666666665</v>
      </c>
      <c r="N80" s="105">
        <v>14.63</v>
      </c>
      <c r="O80" s="105">
        <v>12.76</v>
      </c>
      <c r="P80" s="105">
        <v>12.25</v>
      </c>
      <c r="Q80" s="105">
        <v>12.69</v>
      </c>
      <c r="R80" s="105">
        <v>15.22</v>
      </c>
      <c r="S80" s="105">
        <v>18.05</v>
      </c>
      <c r="T80" s="105">
        <v>20.72</v>
      </c>
      <c r="U80" s="105">
        <v>22.65</v>
      </c>
      <c r="V80" s="105">
        <v>23.21</v>
      </c>
      <c r="W80" s="105">
        <v>22.31</v>
      </c>
      <c r="X80" s="105">
        <v>20.12</v>
      </c>
      <c r="Y80" s="105">
        <v>17.37</v>
      </c>
      <c r="Z80" s="102">
        <v>2562.7741935483873</v>
      </c>
      <c r="AA80" s="4">
        <v>3345.7857142857142</v>
      </c>
      <c r="AB80" s="4">
        <v>5056.9354838709678</v>
      </c>
      <c r="AC80" s="4">
        <v>5918.9333333333334</v>
      </c>
      <c r="AD80" s="4">
        <v>7144.8387096774195</v>
      </c>
      <c r="AE80" s="4">
        <v>7688.4</v>
      </c>
      <c r="AF80" s="4">
        <v>7870.0645161290322</v>
      </c>
      <c r="AG80" s="4">
        <v>6866.2903225806449</v>
      </c>
      <c r="AH80" s="4">
        <v>5720.333333333333</v>
      </c>
      <c r="AI80" s="4">
        <v>4008.4516129032259</v>
      </c>
      <c r="AJ80" s="4">
        <v>2800.5</v>
      </c>
      <c r="AK80" s="23">
        <v>2186.5483870967741</v>
      </c>
      <c r="AL80" s="29">
        <v>4119.5921661599214</v>
      </c>
      <c r="AM80" s="6">
        <v>4012.5100651396369</v>
      </c>
      <c r="AN80" s="6">
        <v>4333.7343341783444</v>
      </c>
      <c r="AO80" s="6">
        <v>3250.2697340103009</v>
      </c>
      <c r="AP80" s="6">
        <v>2803.3579548566881</v>
      </c>
      <c r="AQ80" s="6">
        <v>2577.8354892341035</v>
      </c>
      <c r="AR80" s="6">
        <v>2740.7299327364999</v>
      </c>
      <c r="AS80" s="6">
        <v>3218.9584957534089</v>
      </c>
      <c r="AT80" s="6">
        <v>4117.6463471745474</v>
      </c>
      <c r="AU80" s="6">
        <v>4411.0380574379151</v>
      </c>
      <c r="AV80" s="6">
        <v>4206.3022006255642</v>
      </c>
      <c r="AW80" s="30">
        <v>3704.7700503175338</v>
      </c>
      <c r="AX80" s="39">
        <v>3267.3482308521125</v>
      </c>
      <c r="AY80" s="8">
        <v>3441.6347288547436</v>
      </c>
      <c r="AZ80" s="8">
        <v>4265.0371680340859</v>
      </c>
      <c r="BA80" s="8">
        <v>3907.8519269750445</v>
      </c>
      <c r="BB80" s="8">
        <v>3929.6557694942426</v>
      </c>
      <c r="BC80" s="8">
        <v>3854.5250010273144</v>
      </c>
      <c r="BD80" s="8">
        <v>4086.314656819352</v>
      </c>
      <c r="BE80" s="8">
        <v>4204.8613678203765</v>
      </c>
      <c r="BF80" s="8">
        <v>4409.5641013323766</v>
      </c>
      <c r="BG80" s="8">
        <v>3916.4829297108572</v>
      </c>
      <c r="BH80" s="8">
        <v>3391.1769839944113</v>
      </c>
      <c r="BI80" s="40">
        <v>2901.4011761177985</v>
      </c>
      <c r="BJ80" s="49">
        <v>1963.7498494299894</v>
      </c>
      <c r="BK80" s="10">
        <v>2431.0053436293047</v>
      </c>
      <c r="BL80" s="10">
        <v>3530.0254413569119</v>
      </c>
      <c r="BM80" s="10">
        <v>3893.3090260387326</v>
      </c>
      <c r="BN80" s="10">
        <v>4529.8722088920504</v>
      </c>
      <c r="BO80" s="10">
        <v>4788.0639497052671</v>
      </c>
      <c r="BP80" s="10">
        <v>4950.9895680980044</v>
      </c>
      <c r="BQ80" s="10">
        <v>4464.8174394579091</v>
      </c>
      <c r="BR80" s="10">
        <v>3918.3008130781409</v>
      </c>
      <c r="BS80" s="10">
        <v>2891.0143418164012</v>
      </c>
      <c r="BT80" s="10">
        <v>2120.8879482514153</v>
      </c>
      <c r="BU80" s="50">
        <v>1685.3871731686545</v>
      </c>
      <c r="BV80" s="57">
        <v>707.57694572793082</v>
      </c>
      <c r="BW80" s="12">
        <v>932.57736533802768</v>
      </c>
      <c r="BX80" s="12">
        <v>1235.8927453523074</v>
      </c>
      <c r="BY80" s="12">
        <v>1540.9849107774971</v>
      </c>
      <c r="BZ80" s="12">
        <v>1752.3728369936509</v>
      </c>
      <c r="CA80" s="12">
        <v>1832.9585818286907</v>
      </c>
      <c r="CB80" s="12">
        <v>1767.9505616064637</v>
      </c>
      <c r="CC80" s="12">
        <v>1610.3960228942401</v>
      </c>
      <c r="CD80" s="12">
        <v>1337.0157498579395</v>
      </c>
      <c r="CE80" s="12">
        <v>1027.3238712486755</v>
      </c>
      <c r="CF80" s="12">
        <v>761.90367040737988</v>
      </c>
      <c r="CG80" s="63">
        <v>635.87506050495108</v>
      </c>
      <c r="CH80" s="71">
        <v>5373.0999999999985</v>
      </c>
      <c r="CI80" s="71">
        <v>4433.0000000000027</v>
      </c>
      <c r="CJ80" s="71">
        <v>3225.1</v>
      </c>
      <c r="CK80" s="71">
        <v>2649.400000000001</v>
      </c>
      <c r="CL80" s="71">
        <v>980.10000000000025</v>
      </c>
      <c r="CM80" s="71">
        <v>277.10000000000019</v>
      </c>
      <c r="CN80" s="71">
        <v>123.10000000000005</v>
      </c>
      <c r="CO80" s="71">
        <v>62.199999999999989</v>
      </c>
      <c r="CP80" s="71">
        <v>240.8</v>
      </c>
      <c r="CQ80" s="71">
        <v>575.30000000000007</v>
      </c>
      <c r="CR80" s="71">
        <v>2784.5999999999985</v>
      </c>
      <c r="CS80" s="71">
        <v>4290.4000000000024</v>
      </c>
      <c r="CT80" s="79">
        <v>0</v>
      </c>
      <c r="CU80" s="79">
        <v>24.7</v>
      </c>
      <c r="CV80" s="79">
        <v>87.800000000000011</v>
      </c>
      <c r="CW80" s="79">
        <v>315.10000000000002</v>
      </c>
      <c r="CX80" s="79">
        <v>654.80000000000007</v>
      </c>
      <c r="CY80" s="79">
        <v>1798.2999999999995</v>
      </c>
      <c r="CZ80" s="79">
        <v>3768</v>
      </c>
      <c r="DA80" s="79">
        <v>3567.1000000000031</v>
      </c>
      <c r="DB80" s="79">
        <v>2274.9000000000015</v>
      </c>
      <c r="DC80" s="79">
        <v>1451</v>
      </c>
      <c r="DD80" s="79">
        <v>283.59999999999985</v>
      </c>
      <c r="DE80" s="79">
        <v>0</v>
      </c>
      <c r="DF80" s="87">
        <v>0</v>
      </c>
      <c r="DG80" s="87">
        <v>0</v>
      </c>
      <c r="DH80" s="87">
        <v>0</v>
      </c>
      <c r="DI80" s="87">
        <v>1.3999999999999986</v>
      </c>
      <c r="DJ80" s="87">
        <v>0</v>
      </c>
      <c r="DK80" s="87">
        <v>45.599999999999994</v>
      </c>
      <c r="DL80" s="87">
        <v>513.6</v>
      </c>
      <c r="DM80" s="87">
        <v>274.7</v>
      </c>
      <c r="DN80" s="87">
        <v>79.200000000000017</v>
      </c>
      <c r="DO80" s="87">
        <v>42.600000000000009</v>
      </c>
      <c r="DP80" s="87">
        <v>0</v>
      </c>
      <c r="DQ80" s="87">
        <v>0</v>
      </c>
      <c r="DR80" s="94">
        <v>10581.1</v>
      </c>
      <c r="DS80" s="94">
        <v>9112.2999999999956</v>
      </c>
      <c r="DT80" s="94">
        <v>8345.3000000000047</v>
      </c>
      <c r="DU80" s="94">
        <v>7375.7000000000016</v>
      </c>
      <c r="DV80" s="94">
        <v>5533.3000000000011</v>
      </c>
      <c r="DW80" s="94">
        <v>3564.400000000001</v>
      </c>
      <c r="DX80" s="94">
        <v>2076.7000000000012</v>
      </c>
      <c r="DY80" s="94">
        <v>1977.7999999999981</v>
      </c>
      <c r="DZ80" s="94">
        <v>3085.0999999999981</v>
      </c>
      <c r="EA80" s="94">
        <v>4374.8999999999978</v>
      </c>
      <c r="EB80" s="94">
        <v>7541.0000000000027</v>
      </c>
      <c r="EC80" s="94">
        <v>9498.3999999999924</v>
      </c>
      <c r="ED80" s="225" t="s">
        <v>444</v>
      </c>
      <c r="ES80" s="534">
        <v>18.8</v>
      </c>
      <c r="ET80" s="532">
        <v>13.8</v>
      </c>
      <c r="EU80" s="535">
        <v>29.5</v>
      </c>
      <c r="EV80" s="535">
        <v>21.7</v>
      </c>
      <c r="EW80" s="538">
        <v>7.6</v>
      </c>
      <c r="EX80" s="538">
        <v>5.6</v>
      </c>
    </row>
    <row r="81" spans="1:154" hidden="1">
      <c r="A81" s="66" t="s">
        <v>448</v>
      </c>
      <c r="B81" s="96">
        <v>14.068903225806453</v>
      </c>
      <c r="C81" s="97">
        <v>13.707142857142854</v>
      </c>
      <c r="D81" s="97">
        <v>14.754451612903226</v>
      </c>
      <c r="E81" s="97">
        <v>15.10773333333333</v>
      </c>
      <c r="F81" s="97">
        <v>16.497032258064518</v>
      </c>
      <c r="G81" s="97">
        <v>19.024000000000001</v>
      </c>
      <c r="H81" s="97">
        <v>21.045161290322575</v>
      </c>
      <c r="I81" s="97">
        <v>22.378838709677417</v>
      </c>
      <c r="J81" s="97">
        <v>21.371600000000004</v>
      </c>
      <c r="K81" s="97">
        <v>18.838838709677415</v>
      </c>
      <c r="L81" s="97">
        <v>16.828666666666667</v>
      </c>
      <c r="M81" s="100">
        <v>15.550973118279568</v>
      </c>
      <c r="N81" s="105">
        <v>17.010000000000002</v>
      </c>
      <c r="O81" s="105">
        <v>15.08</v>
      </c>
      <c r="P81" s="105">
        <v>13.9</v>
      </c>
      <c r="Q81" s="105">
        <v>13.54</v>
      </c>
      <c r="R81" s="105">
        <v>14.25</v>
      </c>
      <c r="S81" s="105">
        <v>15.85</v>
      </c>
      <c r="T81" s="105">
        <v>17.84</v>
      </c>
      <c r="U81" s="105">
        <v>19.79</v>
      </c>
      <c r="V81" s="105">
        <v>21.09</v>
      </c>
      <c r="W81" s="105">
        <v>21.4</v>
      </c>
      <c r="X81" s="105">
        <v>20.64</v>
      </c>
      <c r="Y81" s="105">
        <v>19.07</v>
      </c>
      <c r="Z81" s="102">
        <v>1580.4193548387098</v>
      </c>
      <c r="AA81" s="4">
        <v>2238.25</v>
      </c>
      <c r="AB81" s="4">
        <v>2990.1290322580644</v>
      </c>
      <c r="AC81" s="4">
        <v>4038.2666666666669</v>
      </c>
      <c r="AD81" s="4">
        <v>4448.1935483870966</v>
      </c>
      <c r="AE81" s="4">
        <v>4952.2666666666664</v>
      </c>
      <c r="AF81" s="4">
        <v>5367.4516129032254</v>
      </c>
      <c r="AG81" s="4">
        <v>4533.3548387096771</v>
      </c>
      <c r="AH81" s="4">
        <v>3631</v>
      </c>
      <c r="AI81" s="4">
        <v>2545.9677419354839</v>
      </c>
      <c r="AJ81" s="4">
        <v>1673</v>
      </c>
      <c r="AK81" s="23">
        <v>1343.7096774193549</v>
      </c>
      <c r="AL81" s="29">
        <v>2231.5472191371259</v>
      </c>
      <c r="AM81" s="6">
        <v>2470.2487231846499</v>
      </c>
      <c r="AN81" s="6">
        <v>2398.8360036672466</v>
      </c>
      <c r="AO81" s="6">
        <v>2340.2084552366382</v>
      </c>
      <c r="AP81" s="6">
        <v>2094.2145073004203</v>
      </c>
      <c r="AQ81" s="6">
        <v>2111.1601303044686</v>
      </c>
      <c r="AR81" s="6">
        <v>2291.9037285239365</v>
      </c>
      <c r="AS81" s="6">
        <v>2360.1294782724758</v>
      </c>
      <c r="AT81" s="6">
        <v>2577.7766272991089</v>
      </c>
      <c r="AU81" s="6">
        <v>2561.4710731137652</v>
      </c>
      <c r="AV81" s="6">
        <v>2182.3472430280854</v>
      </c>
      <c r="AW81" s="30">
        <v>1992.1572817247916</v>
      </c>
      <c r="AX81" s="39">
        <v>1809.6387750413223</v>
      </c>
      <c r="AY81" s="8">
        <v>2147.3224151391037</v>
      </c>
      <c r="AZ81" s="8">
        <v>2348.7451282310562</v>
      </c>
      <c r="BA81" s="8">
        <v>2655.7824532226332</v>
      </c>
      <c r="BB81" s="8">
        <v>2555.4389281778685</v>
      </c>
      <c r="BC81" s="8">
        <v>2667.7559922979021</v>
      </c>
      <c r="BD81" s="8">
        <v>2948.1997295646365</v>
      </c>
      <c r="BE81" s="8">
        <v>2812.8863002335415</v>
      </c>
      <c r="BF81" s="8">
        <v>2687.819128543666</v>
      </c>
      <c r="BG81" s="8">
        <v>2301.5642149559412</v>
      </c>
      <c r="BH81" s="8">
        <v>1802.9961462570598</v>
      </c>
      <c r="BI81" s="40">
        <v>1596.0818916546145</v>
      </c>
      <c r="BJ81" s="49">
        <v>1163.883884759324</v>
      </c>
      <c r="BK81" s="10">
        <v>1584.264823189734</v>
      </c>
      <c r="BL81" s="10">
        <v>2018.0586365412466</v>
      </c>
      <c r="BM81" s="10">
        <v>2621.0212092429056</v>
      </c>
      <c r="BN81" s="10">
        <v>2790.9297206098436</v>
      </c>
      <c r="BO81" s="10">
        <v>3069.1176966665198</v>
      </c>
      <c r="BP81" s="10">
        <v>3360.0882879946125</v>
      </c>
      <c r="BQ81" s="10">
        <v>2910.7202288801905</v>
      </c>
      <c r="BR81" s="10">
        <v>2427.9732662965484</v>
      </c>
      <c r="BS81" s="10">
        <v>1779.8446187121517</v>
      </c>
      <c r="BT81" s="10">
        <v>1213.0449459114088</v>
      </c>
      <c r="BU81" s="50">
        <v>994.64516294830833</v>
      </c>
      <c r="BV81" s="57">
        <v>571.52205246498318</v>
      </c>
      <c r="BW81" s="12">
        <v>792.59961371245527</v>
      </c>
      <c r="BX81" s="12">
        <v>1066.9355583830165</v>
      </c>
      <c r="BY81" s="12">
        <v>1397.8267017353999</v>
      </c>
      <c r="BZ81" s="12">
        <v>1592.4065179626816</v>
      </c>
      <c r="CA81" s="12">
        <v>1719.90781357439</v>
      </c>
      <c r="CB81" s="12">
        <v>1730.0302067294865</v>
      </c>
      <c r="CC81" s="12">
        <v>1513.5126835396709</v>
      </c>
      <c r="CD81" s="12">
        <v>1220.6421253210303</v>
      </c>
      <c r="CE81" s="12">
        <v>885.13497673733616</v>
      </c>
      <c r="CF81" s="12">
        <v>612.27774710115307</v>
      </c>
      <c r="CG81" s="63">
        <v>500.77341592673577</v>
      </c>
      <c r="CH81" s="71">
        <v>3655.5999999999985</v>
      </c>
      <c r="CI81" s="71">
        <v>3538.1000000000026</v>
      </c>
      <c r="CJ81" s="71">
        <v>3150.7999999999988</v>
      </c>
      <c r="CK81" s="71">
        <v>2766.9999999999995</v>
      </c>
      <c r="CL81" s="71">
        <v>1892.1999999999998</v>
      </c>
      <c r="CM81" s="71">
        <v>659.50000000000023</v>
      </c>
      <c r="CN81" s="71">
        <v>303.40000000000009</v>
      </c>
      <c r="CO81" s="71">
        <v>29.2</v>
      </c>
      <c r="CP81" s="71">
        <v>211.40000000000003</v>
      </c>
      <c r="CQ81" s="71">
        <v>813.19999999999982</v>
      </c>
      <c r="CR81" s="71">
        <v>1656.7000000000007</v>
      </c>
      <c r="CS81" s="71">
        <v>2630.5</v>
      </c>
      <c r="CT81" s="79">
        <v>0</v>
      </c>
      <c r="CU81" s="79">
        <v>0</v>
      </c>
      <c r="CV81" s="79">
        <v>25.4</v>
      </c>
      <c r="CW81" s="79">
        <v>4.6999999999999993</v>
      </c>
      <c r="CX81" s="79">
        <v>66.099999999999994</v>
      </c>
      <c r="CY81" s="79">
        <v>721.50000000000045</v>
      </c>
      <c r="CZ81" s="79">
        <v>1878.7000000000003</v>
      </c>
      <c r="DA81" s="79">
        <v>2583.5</v>
      </c>
      <c r="DB81" s="79">
        <v>1962.399999999999</v>
      </c>
      <c r="DC81" s="79">
        <v>721.40000000000032</v>
      </c>
      <c r="DD81" s="79">
        <v>105.89999999999996</v>
      </c>
      <c r="DE81" s="79">
        <v>85.300000000000011</v>
      </c>
      <c r="DF81" s="87">
        <v>0</v>
      </c>
      <c r="DG81" s="87">
        <v>0</v>
      </c>
      <c r="DH81" s="87">
        <v>0</v>
      </c>
      <c r="DI81" s="87">
        <v>0</v>
      </c>
      <c r="DJ81" s="87">
        <v>0</v>
      </c>
      <c r="DK81" s="87">
        <v>0</v>
      </c>
      <c r="DL81" s="87">
        <v>7.2999999999999972</v>
      </c>
      <c r="DM81" s="87">
        <v>33</v>
      </c>
      <c r="DN81" s="87">
        <v>25.599999999999994</v>
      </c>
      <c r="DO81" s="87">
        <v>0</v>
      </c>
      <c r="DP81" s="87">
        <v>0</v>
      </c>
      <c r="DQ81" s="87">
        <v>0</v>
      </c>
      <c r="DR81" s="94">
        <v>8863.6000000000022</v>
      </c>
      <c r="DS81" s="94">
        <v>8242.100000000004</v>
      </c>
      <c r="DT81" s="94">
        <v>8333.4</v>
      </c>
      <c r="DU81" s="94">
        <v>7802.2999999999993</v>
      </c>
      <c r="DV81" s="94">
        <v>7034.1000000000022</v>
      </c>
      <c r="DW81" s="94">
        <v>4978.0000000000009</v>
      </c>
      <c r="DX81" s="94">
        <v>3639.9999999999982</v>
      </c>
      <c r="DY81" s="94">
        <v>2686.6999999999975</v>
      </c>
      <c r="DZ81" s="94">
        <v>3314.6000000000013</v>
      </c>
      <c r="EA81" s="94">
        <v>5299.8</v>
      </c>
      <c r="EB81" s="94">
        <v>6590.7999999999984</v>
      </c>
      <c r="EC81" s="94">
        <v>7753.2000000000044</v>
      </c>
      <c r="ED81" s="225" t="s">
        <v>444</v>
      </c>
      <c r="ES81" s="534">
        <v>18.8</v>
      </c>
      <c r="ET81" s="532">
        <v>13.8</v>
      </c>
      <c r="EU81" s="535">
        <v>29.5</v>
      </c>
      <c r="EV81" s="535">
        <v>21.7</v>
      </c>
      <c r="EW81" s="538">
        <v>7.6</v>
      </c>
      <c r="EX81" s="538">
        <v>5.6</v>
      </c>
    </row>
    <row r="82" spans="1:154" hidden="1">
      <c r="A82" s="66" t="s">
        <v>449</v>
      </c>
      <c r="B82" s="96">
        <v>10.569806451612905</v>
      </c>
      <c r="C82" s="97">
        <v>11.426428571428572</v>
      </c>
      <c r="D82" s="97">
        <v>12.762580645161288</v>
      </c>
      <c r="E82" s="97">
        <v>14.55373333333333</v>
      </c>
      <c r="F82" s="97">
        <v>17.202451612903225</v>
      </c>
      <c r="G82" s="97">
        <v>19.91813333333333</v>
      </c>
      <c r="H82" s="97">
        <v>22.17806451612903</v>
      </c>
      <c r="I82" s="97">
        <v>22.39703225806451</v>
      </c>
      <c r="J82" s="97">
        <v>21.117599999999999</v>
      </c>
      <c r="K82" s="97">
        <v>17.696516129032261</v>
      </c>
      <c r="L82" s="97">
        <v>13.536666666666667</v>
      </c>
      <c r="M82" s="100">
        <v>10.95391935483871</v>
      </c>
      <c r="N82" s="105">
        <v>11.39</v>
      </c>
      <c r="O82" s="105">
        <v>10.91</v>
      </c>
      <c r="P82" s="105">
        <v>11.77</v>
      </c>
      <c r="Q82" s="105">
        <v>13.11</v>
      </c>
      <c r="R82" s="105">
        <v>16.61</v>
      </c>
      <c r="S82" s="105">
        <v>19.309999999999999</v>
      </c>
      <c r="T82" s="105">
        <v>21.14</v>
      </c>
      <c r="U82" s="105">
        <v>21.69</v>
      </c>
      <c r="V82" s="105">
        <v>20.75</v>
      </c>
      <c r="W82" s="105">
        <v>18.649999999999999</v>
      </c>
      <c r="X82" s="105">
        <v>15.84</v>
      </c>
      <c r="Y82" s="105">
        <v>13.24</v>
      </c>
      <c r="Z82" s="102">
        <v>2040.6451612903227</v>
      </c>
      <c r="AA82" s="4">
        <v>2882.1785714285716</v>
      </c>
      <c r="AB82" s="4">
        <v>3821.1612903225805</v>
      </c>
      <c r="AC82" s="4">
        <v>5192.8</v>
      </c>
      <c r="AD82" s="4">
        <v>6367</v>
      </c>
      <c r="AE82" s="4">
        <v>6893.333333333333</v>
      </c>
      <c r="AF82" s="4">
        <v>7348.4193548387093</v>
      </c>
      <c r="AG82" s="4">
        <v>6769.9677419354839</v>
      </c>
      <c r="AH82" s="4">
        <v>4924</v>
      </c>
      <c r="AI82" s="4">
        <v>3465.8387096774195</v>
      </c>
      <c r="AJ82" s="4">
        <v>2423.8666666666668</v>
      </c>
      <c r="AK82" s="23">
        <v>1946.741935483871</v>
      </c>
      <c r="AL82" s="29">
        <v>3227.7718095497621</v>
      </c>
      <c r="AM82" s="6">
        <v>3485.3292562798028</v>
      </c>
      <c r="AN82" s="6">
        <v>3228.0117722259097</v>
      </c>
      <c r="AO82" s="6">
        <v>2982.9902810059598</v>
      </c>
      <c r="AP82" s="6">
        <v>2712.5613344850449</v>
      </c>
      <c r="AQ82" s="6">
        <v>2562.3275804862396</v>
      </c>
      <c r="AR82" s="6">
        <v>2776.9916993864135</v>
      </c>
      <c r="AS82" s="6">
        <v>3324.443285347028</v>
      </c>
      <c r="AT82" s="6">
        <v>3634.3941433679452</v>
      </c>
      <c r="AU82" s="6">
        <v>3851.4694216377006</v>
      </c>
      <c r="AV82" s="6">
        <v>3704.1224615743899</v>
      </c>
      <c r="AW82" s="30">
        <v>3430.1791622894498</v>
      </c>
      <c r="AX82" s="39">
        <v>2569.0607463137048</v>
      </c>
      <c r="AY82" s="8">
        <v>2982.3608141590353</v>
      </c>
      <c r="AZ82" s="8">
        <v>3151.1033083380239</v>
      </c>
      <c r="BA82" s="8">
        <v>3479.8707986437353</v>
      </c>
      <c r="BB82" s="8">
        <v>3600.2659033101413</v>
      </c>
      <c r="BC82" s="8">
        <v>3579.8108523827063</v>
      </c>
      <c r="BD82" s="8">
        <v>3929.3743163244121</v>
      </c>
      <c r="BE82" s="8">
        <v>4248.9468441404779</v>
      </c>
      <c r="BF82" s="8">
        <v>3823.7106073881391</v>
      </c>
      <c r="BG82" s="8">
        <v>3406.1968891993338</v>
      </c>
      <c r="BH82" s="8">
        <v>2979.9132708909269</v>
      </c>
      <c r="BI82" s="40">
        <v>2674.5858697444892</v>
      </c>
      <c r="BJ82" s="49">
        <v>1560.8855369840433</v>
      </c>
      <c r="BK82" s="10">
        <v>2105.0969521929042</v>
      </c>
      <c r="BL82" s="10">
        <v>2639.3049108421305</v>
      </c>
      <c r="BM82" s="10">
        <v>3426.2061398313394</v>
      </c>
      <c r="BN82" s="10">
        <v>4053.9734633903272</v>
      </c>
      <c r="BO82" s="10">
        <v>4313.7425877566093</v>
      </c>
      <c r="BP82" s="10">
        <v>4653.0001793186466</v>
      </c>
      <c r="BQ82" s="10">
        <v>4449.7754922881704</v>
      </c>
      <c r="BR82" s="10">
        <v>3380.2392292099562</v>
      </c>
      <c r="BS82" s="10">
        <v>2511.7787731024368</v>
      </c>
      <c r="BT82" s="10">
        <v>1853.606919437982</v>
      </c>
      <c r="BU82" s="50">
        <v>1527.3143598237928</v>
      </c>
      <c r="BV82" s="57">
        <v>635.03010962671783</v>
      </c>
      <c r="BW82" s="12">
        <v>870.18532203104303</v>
      </c>
      <c r="BX82" s="12">
        <v>1164.6342954998131</v>
      </c>
      <c r="BY82" s="12">
        <v>1503.8487401913792</v>
      </c>
      <c r="BZ82" s="12">
        <v>1750.0220712417747</v>
      </c>
      <c r="CA82" s="12">
        <v>1850.0015654751937</v>
      </c>
      <c r="CB82" s="12">
        <v>1794.0624402449043</v>
      </c>
      <c r="CC82" s="12">
        <v>1600.9777898960815</v>
      </c>
      <c r="CD82" s="12">
        <v>1314.3033278205899</v>
      </c>
      <c r="CE82" s="12">
        <v>975.93608874586414</v>
      </c>
      <c r="CF82" s="12">
        <v>705.3659602110331</v>
      </c>
      <c r="CG82" s="63">
        <v>584.15249267240006</v>
      </c>
      <c r="CH82" s="71">
        <v>6232.1000000000058</v>
      </c>
      <c r="CI82" s="71">
        <v>5050.199999999998</v>
      </c>
      <c r="CJ82" s="71">
        <v>4607.7000000000025</v>
      </c>
      <c r="CK82" s="71">
        <v>3363.0999999999972</v>
      </c>
      <c r="CL82" s="71">
        <v>2190.3000000000006</v>
      </c>
      <c r="CM82" s="71">
        <v>1018.8999999999997</v>
      </c>
      <c r="CN82" s="71">
        <v>599</v>
      </c>
      <c r="CO82" s="71">
        <v>467.30000000000013</v>
      </c>
      <c r="CP82" s="71">
        <v>641.79999999999984</v>
      </c>
      <c r="CQ82" s="71">
        <v>1511.2000000000007</v>
      </c>
      <c r="CR82" s="71">
        <v>3920.7999999999993</v>
      </c>
      <c r="CS82" s="71">
        <v>5948.6</v>
      </c>
      <c r="CT82" s="79">
        <v>0</v>
      </c>
      <c r="CU82" s="79">
        <v>0</v>
      </c>
      <c r="CV82" s="79">
        <v>23.5</v>
      </c>
      <c r="CW82" s="79">
        <v>225.70000000000002</v>
      </c>
      <c r="CX82" s="79">
        <v>956.2000000000005</v>
      </c>
      <c r="CY82" s="79">
        <v>1789.2000000000012</v>
      </c>
      <c r="CZ82" s="79">
        <v>3088.9999999999973</v>
      </c>
      <c r="DA82" s="79">
        <v>3116.8</v>
      </c>
      <c r="DB82" s="79">
        <v>2264.2000000000021</v>
      </c>
      <c r="DC82" s="79">
        <v>600.6000000000007</v>
      </c>
      <c r="DD82" s="79">
        <v>30.600000000000009</v>
      </c>
      <c r="DE82" s="79">
        <v>0</v>
      </c>
      <c r="DF82" s="87">
        <v>0</v>
      </c>
      <c r="DG82" s="87">
        <v>0</v>
      </c>
      <c r="DH82" s="87">
        <v>0</v>
      </c>
      <c r="DI82" s="87">
        <v>0</v>
      </c>
      <c r="DJ82" s="87">
        <v>44.70000000000001</v>
      </c>
      <c r="DK82" s="87">
        <v>138.4</v>
      </c>
      <c r="DL82" s="87">
        <v>596.69999999999993</v>
      </c>
      <c r="DM82" s="87">
        <v>684.09999999999991</v>
      </c>
      <c r="DN82" s="87">
        <v>328.59999999999991</v>
      </c>
      <c r="DO82" s="87">
        <v>0.90000000000000213</v>
      </c>
      <c r="DP82" s="87">
        <v>0</v>
      </c>
      <c r="DQ82" s="87">
        <v>0</v>
      </c>
      <c r="DR82" s="94">
        <v>11440.100000000002</v>
      </c>
      <c r="DS82" s="94">
        <v>9754.2000000000062</v>
      </c>
      <c r="DT82" s="94">
        <v>9792.1999999999971</v>
      </c>
      <c r="DU82" s="94">
        <v>8177.4</v>
      </c>
      <c r="DV82" s="94">
        <v>6486.7999999999984</v>
      </c>
      <c r="DW82" s="94">
        <v>4408.0999999999995</v>
      </c>
      <c r="DX82" s="94">
        <v>3314.7000000000016</v>
      </c>
      <c r="DY82" s="94">
        <v>3242.6000000000022</v>
      </c>
      <c r="DZ82" s="94">
        <v>3746.2000000000012</v>
      </c>
      <c r="EA82" s="94">
        <v>6119.4999999999945</v>
      </c>
      <c r="EB82" s="94">
        <v>8930.2000000000098</v>
      </c>
      <c r="EC82" s="94">
        <v>11156.600000000011</v>
      </c>
      <c r="ED82" s="225" t="s">
        <v>444</v>
      </c>
      <c r="ES82" s="534">
        <v>18.8</v>
      </c>
      <c r="ET82" s="532">
        <v>13.8</v>
      </c>
      <c r="EU82" s="535">
        <v>29.5</v>
      </c>
      <c r="EV82" s="535">
        <v>21.7</v>
      </c>
      <c r="EW82" s="538">
        <v>7.6</v>
      </c>
      <c r="EX82" s="538">
        <v>5.6</v>
      </c>
    </row>
    <row r="83" spans="1:154" hidden="1">
      <c r="A83" s="66" t="s">
        <v>450</v>
      </c>
      <c r="B83" s="96">
        <v>9.2970322580645171</v>
      </c>
      <c r="C83" s="97">
        <v>10.59585714285714</v>
      </c>
      <c r="D83" s="97">
        <v>11.545677419354838</v>
      </c>
      <c r="E83" s="97">
        <v>13.062666666666663</v>
      </c>
      <c r="F83" s="97">
        <v>14.453548387096772</v>
      </c>
      <c r="G83" s="97">
        <v>17.718799999999998</v>
      </c>
      <c r="H83" s="97">
        <v>18.88812903225806</v>
      </c>
      <c r="I83" s="97">
        <v>19.289677419354838</v>
      </c>
      <c r="J83" s="97">
        <v>17.927866666666667</v>
      </c>
      <c r="K83" s="97">
        <v>15.449806451612902</v>
      </c>
      <c r="L83" s="97">
        <v>12.08586666666667</v>
      </c>
      <c r="M83" s="100">
        <v>10.275580645161293</v>
      </c>
      <c r="N83" s="105">
        <v>10.18</v>
      </c>
      <c r="O83" s="105">
        <v>9.7799999999999994</v>
      </c>
      <c r="P83" s="105">
        <v>10.5</v>
      </c>
      <c r="Q83" s="105">
        <v>11.62</v>
      </c>
      <c r="R83" s="105">
        <v>14.56</v>
      </c>
      <c r="S83" s="105">
        <v>16.829999999999998</v>
      </c>
      <c r="T83" s="105">
        <v>18.36</v>
      </c>
      <c r="U83" s="105">
        <v>18.82</v>
      </c>
      <c r="V83" s="105">
        <v>18.03</v>
      </c>
      <c r="W83" s="105">
        <v>16.27</v>
      </c>
      <c r="X83" s="105">
        <v>13.92</v>
      </c>
      <c r="Y83" s="105">
        <v>11.73</v>
      </c>
      <c r="Z83" s="102">
        <v>1765.6129032258063</v>
      </c>
      <c r="AA83" s="4">
        <v>2614.9642857142858</v>
      </c>
      <c r="AB83" s="4">
        <v>4089.516129032258</v>
      </c>
      <c r="AC83" s="4">
        <v>5615.9666666666662</v>
      </c>
      <c r="AD83" s="4">
        <v>6360.5483870967746</v>
      </c>
      <c r="AE83" s="4">
        <v>7077.3</v>
      </c>
      <c r="AF83" s="4">
        <v>6686.9677419354839</v>
      </c>
      <c r="AG83" s="4">
        <v>6129.322580645161</v>
      </c>
      <c r="AH83" s="4">
        <v>4615.6333333333332</v>
      </c>
      <c r="AI83" s="4">
        <v>3195.7096774193546</v>
      </c>
      <c r="AJ83" s="4">
        <v>1758.6333333333334</v>
      </c>
      <c r="AK83" s="23">
        <v>1495.0967741935483</v>
      </c>
      <c r="AL83" s="29">
        <v>2984.5147072893901</v>
      </c>
      <c r="AM83" s="6">
        <v>3354.3314792948659</v>
      </c>
      <c r="AN83" s="6">
        <v>3758.197564251614</v>
      </c>
      <c r="AO83" s="6">
        <v>3406.5512131901514</v>
      </c>
      <c r="AP83" s="6">
        <v>2864.458644895733</v>
      </c>
      <c r="AQ83" s="6">
        <v>2759.283423729672</v>
      </c>
      <c r="AR83" s="6">
        <v>2786.5213818253301</v>
      </c>
      <c r="AS83" s="6">
        <v>3238.4134120906892</v>
      </c>
      <c r="AT83" s="6">
        <v>3593.8148407193348</v>
      </c>
      <c r="AU83" s="6">
        <v>3768.0224019494344</v>
      </c>
      <c r="AV83" s="6">
        <v>2634.1017127161281</v>
      </c>
      <c r="AW83" s="30">
        <v>2690.0311461651127</v>
      </c>
      <c r="AX83" s="39">
        <v>2355.0057732129085</v>
      </c>
      <c r="AY83" s="8">
        <v>2839.5797362900257</v>
      </c>
      <c r="AZ83" s="8">
        <v>3609.5648111886903</v>
      </c>
      <c r="BA83" s="8">
        <v>3934.8845727474272</v>
      </c>
      <c r="BB83" s="8">
        <v>3706.1707874247863</v>
      </c>
      <c r="BC83" s="8">
        <v>3772.0680826737844</v>
      </c>
      <c r="BD83" s="8">
        <v>3713.3215604233965</v>
      </c>
      <c r="BE83" s="8">
        <v>3971.3818034082115</v>
      </c>
      <c r="BF83" s="8">
        <v>3714.741028551573</v>
      </c>
      <c r="BG83" s="8">
        <v>3292.9051030789615</v>
      </c>
      <c r="BH83" s="8">
        <v>2127.6890750242151</v>
      </c>
      <c r="BI83" s="40">
        <v>2095.4846869622561</v>
      </c>
      <c r="BJ83" s="49">
        <v>1389.9016549783066</v>
      </c>
      <c r="BK83" s="10">
        <v>1958.0388507147748</v>
      </c>
      <c r="BL83" s="10">
        <v>2923.3945428013981</v>
      </c>
      <c r="BM83" s="10">
        <v>3799.5396722854962</v>
      </c>
      <c r="BN83" s="10">
        <v>4107.7348146791255</v>
      </c>
      <c r="BO83" s="10">
        <v>4489.8658874627208</v>
      </c>
      <c r="BP83" s="10">
        <v>4275.488681814184</v>
      </c>
      <c r="BQ83" s="10">
        <v>4074.2856930268763</v>
      </c>
      <c r="BR83" s="10">
        <v>3226.3591727134167</v>
      </c>
      <c r="BS83" s="10">
        <v>2374.0887998833737</v>
      </c>
      <c r="BT83" s="10">
        <v>1341.6851064058696</v>
      </c>
      <c r="BU83" s="50">
        <v>1187.84574770473</v>
      </c>
      <c r="BV83" s="57">
        <v>563.73857131962995</v>
      </c>
      <c r="BW83" s="12">
        <v>803.9473167648398</v>
      </c>
      <c r="BX83" s="12">
        <v>1143.5430897781036</v>
      </c>
      <c r="BY83" s="12">
        <v>1494.3619313925824</v>
      </c>
      <c r="BZ83" s="12">
        <v>1745.6958908797571</v>
      </c>
      <c r="CA83" s="12">
        <v>1858.1659904859255</v>
      </c>
      <c r="CB83" s="12">
        <v>1800.6943856659805</v>
      </c>
      <c r="CC83" s="12">
        <v>1591.9933398343455</v>
      </c>
      <c r="CD83" s="12">
        <v>1268.6547576129135</v>
      </c>
      <c r="CE83" s="12">
        <v>914.68747721887462</v>
      </c>
      <c r="CF83" s="12">
        <v>594.22695172930753</v>
      </c>
      <c r="CG83" s="63">
        <v>493.50956832002367</v>
      </c>
      <c r="CH83" s="71">
        <v>7168.5</v>
      </c>
      <c r="CI83" s="71">
        <v>5610.9000000000005</v>
      </c>
      <c r="CJ83" s="71">
        <v>5498.0000000000027</v>
      </c>
      <c r="CK83" s="71">
        <v>4312.5999999999985</v>
      </c>
      <c r="CL83" s="71">
        <v>3414.9999999999986</v>
      </c>
      <c r="CM83" s="71">
        <v>1567.6999999999982</v>
      </c>
      <c r="CN83" s="71">
        <v>1070.2999999999997</v>
      </c>
      <c r="CO83" s="71">
        <v>993.50000000000102</v>
      </c>
      <c r="CP83" s="71">
        <v>1236.4000000000001</v>
      </c>
      <c r="CQ83" s="71">
        <v>2869.4</v>
      </c>
      <c r="CR83" s="71">
        <v>4932.5000000000018</v>
      </c>
      <c r="CS83" s="71">
        <v>6458.4000000000042</v>
      </c>
      <c r="CT83" s="79">
        <v>0</v>
      </c>
      <c r="CU83" s="79">
        <v>5</v>
      </c>
      <c r="CV83" s="79">
        <v>10</v>
      </c>
      <c r="CW83" s="79">
        <v>106.5</v>
      </c>
      <c r="CX83" s="79">
        <v>102.00000000000001</v>
      </c>
      <c r="CY83" s="79">
        <v>718.59999999999968</v>
      </c>
      <c r="CZ83" s="79">
        <v>1065.3999999999996</v>
      </c>
      <c r="DA83" s="79">
        <v>1276.1000000000008</v>
      </c>
      <c r="DB83" s="79">
        <v>520.80000000000007</v>
      </c>
      <c r="DC83" s="79">
        <v>287.99999999999994</v>
      </c>
      <c r="DD83" s="79">
        <v>2</v>
      </c>
      <c r="DE83" s="79">
        <v>0</v>
      </c>
      <c r="DF83" s="87">
        <v>0</v>
      </c>
      <c r="DG83" s="87">
        <v>0</v>
      </c>
      <c r="DH83" s="87">
        <v>0</v>
      </c>
      <c r="DI83" s="87">
        <v>0</v>
      </c>
      <c r="DJ83" s="87">
        <v>0</v>
      </c>
      <c r="DK83" s="87">
        <v>20.900000000000009</v>
      </c>
      <c r="DL83" s="87">
        <v>108.19999999999999</v>
      </c>
      <c r="DM83" s="87">
        <v>87.4</v>
      </c>
      <c r="DN83" s="87">
        <v>20.500000000000004</v>
      </c>
      <c r="DO83" s="87">
        <v>3</v>
      </c>
      <c r="DP83" s="87">
        <v>0</v>
      </c>
      <c r="DQ83" s="87">
        <v>0</v>
      </c>
      <c r="DR83" s="94">
        <v>12376.500000000004</v>
      </c>
      <c r="DS83" s="94">
        <v>10309.9</v>
      </c>
      <c r="DT83" s="94">
        <v>10695.999999999996</v>
      </c>
      <c r="DU83" s="94">
        <v>9246.100000000004</v>
      </c>
      <c r="DV83" s="94">
        <v>8521.0000000000018</v>
      </c>
      <c r="DW83" s="94">
        <v>5910.0000000000036</v>
      </c>
      <c r="DX83" s="94">
        <v>5321.0999999999985</v>
      </c>
      <c r="DY83" s="94">
        <v>5012.8000000000029</v>
      </c>
      <c r="DZ83" s="94">
        <v>5776.0999999999958</v>
      </c>
      <c r="EA83" s="94">
        <v>7792.4000000000042</v>
      </c>
      <c r="EB83" s="94">
        <v>9970.5000000000036</v>
      </c>
      <c r="EC83" s="94">
        <v>11666.399999999992</v>
      </c>
      <c r="ED83" s="225" t="s">
        <v>444</v>
      </c>
      <c r="ES83" s="534">
        <v>18.8</v>
      </c>
      <c r="ET83" s="532">
        <v>13.8</v>
      </c>
      <c r="EU83" s="535">
        <v>29.5</v>
      </c>
      <c r="EV83" s="535">
        <v>21.7</v>
      </c>
      <c r="EW83" s="538">
        <v>7.6</v>
      </c>
      <c r="EX83" s="538">
        <v>5.6</v>
      </c>
    </row>
    <row r="84" spans="1:154" hidden="1">
      <c r="A84" s="66"/>
      <c r="B84" s="96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100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2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23"/>
      <c r="AL84" s="29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30"/>
      <c r="AX84" s="39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40"/>
      <c r="BJ84" s="49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50"/>
      <c r="BV84" s="57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63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225"/>
      <c r="ES84" s="532"/>
      <c r="ET84" s="532"/>
      <c r="EU84" s="535"/>
      <c r="EV84" s="535"/>
      <c r="EW84" s="538"/>
      <c r="EX84" s="538"/>
    </row>
    <row r="85" spans="1:154">
      <c r="A85" s="346" t="s">
        <v>985</v>
      </c>
      <c r="B85" s="347">
        <v>26.744</v>
      </c>
      <c r="C85" s="348">
        <v>26.743285714285712</v>
      </c>
      <c r="D85" s="348">
        <v>26.522838709677419</v>
      </c>
      <c r="E85" s="348">
        <v>26.007066666666667</v>
      </c>
      <c r="F85" s="348">
        <v>24.306580645161286</v>
      </c>
      <c r="G85" s="348">
        <v>23.54186666666666</v>
      </c>
      <c r="H85" s="348">
        <v>22.854064516129032</v>
      </c>
      <c r="I85" s="348">
        <v>23.092387096774196</v>
      </c>
      <c r="J85" s="348">
        <v>23.852133333333331</v>
      </c>
      <c r="K85" s="348">
        <v>25.070709677419359</v>
      </c>
      <c r="L85" s="348">
        <v>26.129466666666676</v>
      </c>
      <c r="M85" s="95">
        <v>26.718155913978496</v>
      </c>
      <c r="N85" s="107">
        <v>26.85</v>
      </c>
      <c r="O85" s="107">
        <v>26.98</v>
      </c>
      <c r="P85" s="107">
        <v>26.68</v>
      </c>
      <c r="Q85" s="107">
        <v>26.23</v>
      </c>
      <c r="R85" s="107">
        <v>25.09</v>
      </c>
      <c r="S85" s="107">
        <v>24.22</v>
      </c>
      <c r="T85" s="107">
        <v>23.64</v>
      </c>
      <c r="U85" s="107">
        <v>23.49</v>
      </c>
      <c r="V85" s="107">
        <v>23.82</v>
      </c>
      <c r="W85" s="107">
        <v>24.51</v>
      </c>
      <c r="X85" s="107">
        <v>25.43</v>
      </c>
      <c r="Y85" s="107">
        <v>26.27</v>
      </c>
      <c r="Z85" s="227">
        <v>6108.677419354839</v>
      </c>
      <c r="AA85" s="228">
        <v>5628.5</v>
      </c>
      <c r="AB85" s="228">
        <v>5427.0322580645161</v>
      </c>
      <c r="AC85" s="228">
        <v>5178.8999999999996</v>
      </c>
      <c r="AD85" s="228">
        <v>4172.1290322580644</v>
      </c>
      <c r="AE85" s="228">
        <v>4069.6333333333332</v>
      </c>
      <c r="AF85" s="228">
        <v>4222.5161290322585</v>
      </c>
      <c r="AG85" s="228">
        <v>4860.9677419354839</v>
      </c>
      <c r="AH85" s="228">
        <v>5801.9666666666662</v>
      </c>
      <c r="AI85" s="228">
        <v>6370.3870967741932</v>
      </c>
      <c r="AJ85" s="228">
        <v>6431.5</v>
      </c>
      <c r="AK85" s="229">
        <v>6306.322580645161</v>
      </c>
      <c r="AL85" s="230">
        <v>1776.7287145749663</v>
      </c>
      <c r="AM85" s="231">
        <v>1689.5823683733497</v>
      </c>
      <c r="AN85" s="231">
        <v>1566.7759220781541</v>
      </c>
      <c r="AO85" s="231">
        <v>1377.2543990312804</v>
      </c>
      <c r="AP85" s="231">
        <v>1168.0372577045432</v>
      </c>
      <c r="AQ85" s="231">
        <v>1077.9885567245026</v>
      </c>
      <c r="AR85" s="231">
        <v>1117.5910488308352</v>
      </c>
      <c r="AS85" s="231">
        <v>1282.9145696903224</v>
      </c>
      <c r="AT85" s="231">
        <v>1497.0427513264244</v>
      </c>
      <c r="AU85" s="231">
        <v>1672.8711683663912</v>
      </c>
      <c r="AV85" s="231">
        <v>1767.7517613928608</v>
      </c>
      <c r="AW85" s="33">
        <v>1794.1873714875144</v>
      </c>
      <c r="AX85" s="41">
        <v>3457.325435726691</v>
      </c>
      <c r="AY85" s="232">
        <v>2943.2293948384277</v>
      </c>
      <c r="AZ85" s="232">
        <v>2392.2911284167012</v>
      </c>
      <c r="BA85" s="232">
        <v>1519.5612649020402</v>
      </c>
      <c r="BB85" s="232">
        <v>1168.0372577045432</v>
      </c>
      <c r="BC85" s="232">
        <v>1077.9885567245026</v>
      </c>
      <c r="BD85" s="232">
        <v>1117.5910488308352</v>
      </c>
      <c r="BE85" s="232">
        <v>1282.9145696903224</v>
      </c>
      <c r="BF85" s="232">
        <v>2187.5169166962492</v>
      </c>
      <c r="BG85" s="232">
        <v>3114.2094755964226</v>
      </c>
      <c r="BH85" s="232">
        <v>3553.5422940622584</v>
      </c>
      <c r="BI85" s="233">
        <v>3643.2617090223612</v>
      </c>
      <c r="BJ85" s="234">
        <v>3631.790117018877</v>
      </c>
      <c r="BK85" s="235">
        <v>3390.5618618777976</v>
      </c>
      <c r="BL85" s="235">
        <v>3327.1060645997441</v>
      </c>
      <c r="BM85" s="235">
        <v>3250.9777899111227</v>
      </c>
      <c r="BN85" s="235">
        <v>2664.4532688838076</v>
      </c>
      <c r="BO85" s="235">
        <v>2633.4343248573555</v>
      </c>
      <c r="BP85" s="235">
        <v>2719.7026014938174</v>
      </c>
      <c r="BQ85" s="235">
        <v>3077.4888731959054</v>
      </c>
      <c r="BR85" s="235">
        <v>3595.2180177339428</v>
      </c>
      <c r="BS85" s="235">
        <v>3862.434221974062</v>
      </c>
      <c r="BT85" s="235">
        <v>3835.5554628433269</v>
      </c>
      <c r="BU85" s="236">
        <v>3734.6037804246957</v>
      </c>
      <c r="BV85" s="58">
        <v>1776.7287145749663</v>
      </c>
      <c r="BW85" s="237">
        <v>1827.5219081299829</v>
      </c>
      <c r="BX85" s="237">
        <v>2415.5930699517598</v>
      </c>
      <c r="BY85" s="237">
        <v>3530.5812224059664</v>
      </c>
      <c r="BZ85" s="237">
        <v>1168.0372577045432</v>
      </c>
      <c r="CA85" s="237">
        <v>1077.9885567245026</v>
      </c>
      <c r="CB85" s="237">
        <v>1117.5910488308352</v>
      </c>
      <c r="CC85" s="237">
        <v>3787.658604144342</v>
      </c>
      <c r="CD85" s="237">
        <v>3036.4430785669997</v>
      </c>
      <c r="CE85" s="237">
        <v>2069.5368478430578</v>
      </c>
      <c r="CF85" s="237">
        <v>1767.7517613928608</v>
      </c>
      <c r="CG85" s="238">
        <v>1794.1873714875144</v>
      </c>
      <c r="CH85" s="239">
        <v>0</v>
      </c>
      <c r="CI85" s="239">
        <v>0</v>
      </c>
      <c r="CJ85" s="239">
        <v>0</v>
      </c>
      <c r="CK85" s="239">
        <v>0</v>
      </c>
      <c r="CL85" s="239">
        <v>4.3000000000000007</v>
      </c>
      <c r="CM85" s="239">
        <v>15.599999999999998</v>
      </c>
      <c r="CN85" s="239">
        <v>110.60000000000005</v>
      </c>
      <c r="CO85" s="239">
        <v>108.29999999999998</v>
      </c>
      <c r="CP85" s="239">
        <v>62.599999999999987</v>
      </c>
      <c r="CQ85" s="239">
        <v>1.4000000000000021</v>
      </c>
      <c r="CR85" s="239">
        <v>0</v>
      </c>
      <c r="CS85" s="239">
        <v>0</v>
      </c>
      <c r="CT85" s="240">
        <v>5834.2999999999947</v>
      </c>
      <c r="CU85" s="240">
        <v>5265.9000000000024</v>
      </c>
      <c r="CV85" s="240">
        <v>5652.9999999999973</v>
      </c>
      <c r="CW85" s="240">
        <v>5120.9999999999964</v>
      </c>
      <c r="CX85" s="240">
        <v>4030.200000000003</v>
      </c>
      <c r="CY85" s="240">
        <v>3360.9999999999995</v>
      </c>
      <c r="CZ85" s="240">
        <v>3059.7999999999965</v>
      </c>
      <c r="DA85" s="240">
        <v>3242.1000000000017</v>
      </c>
      <c r="DB85" s="240">
        <v>3646.9999999999995</v>
      </c>
      <c r="DC85" s="240">
        <v>4604.5999999999985</v>
      </c>
      <c r="DD85" s="240">
        <v>5210.2000000000035</v>
      </c>
      <c r="DE85" s="240">
        <v>5806.1999999999953</v>
      </c>
      <c r="DF85" s="241">
        <v>1224.0000000000011</v>
      </c>
      <c r="DG85" s="241">
        <v>1124.7999999999997</v>
      </c>
      <c r="DH85" s="241">
        <v>961.59999999999991</v>
      </c>
      <c r="DI85" s="241">
        <v>962.80000000000075</v>
      </c>
      <c r="DJ85" s="241">
        <v>452.10000000000025</v>
      </c>
      <c r="DK85" s="241">
        <v>276.00000000000006</v>
      </c>
      <c r="DL85" s="241">
        <v>251.39999999999986</v>
      </c>
      <c r="DM85" s="241">
        <v>269.40000000000003</v>
      </c>
      <c r="DN85" s="241">
        <v>455.39999999999981</v>
      </c>
      <c r="DO85" s="241">
        <v>736.4</v>
      </c>
      <c r="DP85" s="241">
        <v>1035.9999999999995</v>
      </c>
      <c r="DQ85" s="241">
        <v>1135.3000000000004</v>
      </c>
      <c r="DR85" s="242">
        <v>597.7000000000005</v>
      </c>
      <c r="DS85" s="242">
        <v>562.90000000000009</v>
      </c>
      <c r="DT85" s="242">
        <v>516.60000000000048</v>
      </c>
      <c r="DU85" s="242">
        <v>881.79999999999973</v>
      </c>
      <c r="DV85" s="242">
        <v>1634.2</v>
      </c>
      <c r="DW85" s="242">
        <v>1970.600000000001</v>
      </c>
      <c r="DX85" s="242">
        <v>2510.2000000000007</v>
      </c>
      <c r="DY85" s="242">
        <v>2343.6000000000008</v>
      </c>
      <c r="DZ85" s="242">
        <v>1911.0000000000005</v>
      </c>
      <c r="EA85" s="242">
        <v>1341.1999999999987</v>
      </c>
      <c r="EB85" s="242">
        <v>865.79999999999984</v>
      </c>
      <c r="EC85" s="242">
        <v>537.09999999999991</v>
      </c>
      <c r="ED85" s="243"/>
      <c r="ES85" s="532">
        <v>18.8</v>
      </c>
      <c r="ET85" s="532">
        <v>13.8</v>
      </c>
      <c r="EU85" s="535">
        <v>29.5</v>
      </c>
      <c r="EV85" s="535">
        <v>21.7</v>
      </c>
      <c r="EW85" s="538">
        <v>7.6</v>
      </c>
      <c r="EX85" s="538">
        <v>5.6</v>
      </c>
    </row>
    <row r="86" spans="1:154">
      <c r="A86" s="346" t="s">
        <v>57</v>
      </c>
      <c r="B86" s="360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95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227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9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33"/>
      <c r="AX86" s="41"/>
      <c r="AY86" s="232"/>
      <c r="AZ86" s="232"/>
      <c r="BA86" s="232"/>
      <c r="BB86" s="232"/>
      <c r="BC86" s="232"/>
      <c r="BD86" s="232"/>
      <c r="BE86" s="232"/>
      <c r="BF86" s="232"/>
      <c r="BG86" s="232"/>
      <c r="BH86" s="232"/>
      <c r="BI86" s="233"/>
      <c r="BJ86" s="234"/>
      <c r="BK86" s="235"/>
      <c r="BL86" s="235"/>
      <c r="BM86" s="235"/>
      <c r="BN86" s="235"/>
      <c r="BO86" s="235"/>
      <c r="BP86" s="235"/>
      <c r="BQ86" s="235"/>
      <c r="BR86" s="235"/>
      <c r="BS86" s="235"/>
      <c r="BT86" s="235"/>
      <c r="BU86" s="236"/>
      <c r="BV86" s="58"/>
      <c r="BW86" s="237"/>
      <c r="BX86" s="237"/>
      <c r="BY86" s="237"/>
      <c r="BZ86" s="237"/>
      <c r="CA86" s="237"/>
      <c r="CB86" s="237"/>
      <c r="CC86" s="237"/>
      <c r="CD86" s="237"/>
      <c r="CE86" s="237"/>
      <c r="CF86" s="237"/>
      <c r="CG86" s="238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39"/>
      <c r="CS86" s="239"/>
      <c r="CT86" s="240"/>
      <c r="CU86" s="240"/>
      <c r="CV86" s="240"/>
      <c r="CW86" s="240"/>
      <c r="CX86" s="240"/>
      <c r="CY86" s="240"/>
      <c r="CZ86" s="240"/>
      <c r="DA86" s="240"/>
      <c r="DB86" s="240"/>
      <c r="DC86" s="240"/>
      <c r="DD86" s="240"/>
      <c r="DE86" s="240"/>
      <c r="DF86" s="241"/>
      <c r="DG86" s="241"/>
      <c r="DH86" s="241"/>
      <c r="DI86" s="241"/>
      <c r="DJ86" s="241"/>
      <c r="DK86" s="241"/>
      <c r="DL86" s="241"/>
      <c r="DM86" s="241"/>
      <c r="DN86" s="241"/>
      <c r="DO86" s="241"/>
      <c r="DP86" s="241"/>
      <c r="DQ86" s="241"/>
      <c r="DR86" s="242"/>
      <c r="DS86" s="242"/>
      <c r="DT86" s="242"/>
      <c r="DU86" s="242"/>
      <c r="DV86" s="242"/>
      <c r="DW86" s="242"/>
      <c r="DX86" s="242"/>
      <c r="DY86" s="242"/>
      <c r="DZ86" s="242"/>
      <c r="EA86" s="242"/>
      <c r="EB86" s="242"/>
      <c r="EC86" s="242"/>
      <c r="ED86" s="243"/>
      <c r="ES86" s="532"/>
      <c r="ET86" s="532"/>
      <c r="EU86" s="535"/>
      <c r="EV86" s="535"/>
      <c r="EW86" s="538"/>
      <c r="EX86" s="538"/>
    </row>
    <row r="87" spans="1:154">
      <c r="A87" s="346" t="s">
        <v>58</v>
      </c>
      <c r="B87" s="347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95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227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9"/>
      <c r="AL87" s="230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33"/>
      <c r="AX87" s="41"/>
      <c r="AY87" s="232"/>
      <c r="AZ87" s="232"/>
      <c r="BA87" s="232"/>
      <c r="BB87" s="232"/>
      <c r="BC87" s="232"/>
      <c r="BD87" s="232"/>
      <c r="BE87" s="232"/>
      <c r="BF87" s="232"/>
      <c r="BG87" s="232"/>
      <c r="BH87" s="232"/>
      <c r="BI87" s="233"/>
      <c r="BJ87" s="234"/>
      <c r="BK87" s="235"/>
      <c r="BL87" s="235"/>
      <c r="BM87" s="235"/>
      <c r="BN87" s="235"/>
      <c r="BO87" s="235"/>
      <c r="BP87" s="235"/>
      <c r="BQ87" s="235"/>
      <c r="BR87" s="235"/>
      <c r="BS87" s="235"/>
      <c r="BT87" s="235"/>
      <c r="BU87" s="236"/>
      <c r="BV87" s="58"/>
      <c r="BW87" s="237"/>
      <c r="BX87" s="237"/>
      <c r="BY87" s="237"/>
      <c r="BZ87" s="237"/>
      <c r="CA87" s="237"/>
      <c r="CB87" s="237"/>
      <c r="CC87" s="237"/>
      <c r="CD87" s="237"/>
      <c r="CE87" s="237"/>
      <c r="CF87" s="237"/>
      <c r="CG87" s="238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239"/>
      <c r="CT87" s="240"/>
      <c r="CU87" s="240"/>
      <c r="CV87" s="240"/>
      <c r="CW87" s="240"/>
      <c r="CX87" s="240"/>
      <c r="CY87" s="240"/>
      <c r="CZ87" s="240"/>
      <c r="DA87" s="240"/>
      <c r="DB87" s="240"/>
      <c r="DC87" s="240"/>
      <c r="DD87" s="240"/>
      <c r="DE87" s="240"/>
      <c r="DF87" s="241"/>
      <c r="DG87" s="241"/>
      <c r="DH87" s="241"/>
      <c r="DI87" s="241"/>
      <c r="DJ87" s="241"/>
      <c r="DK87" s="241"/>
      <c r="DL87" s="241"/>
      <c r="DM87" s="241"/>
      <c r="DN87" s="241"/>
      <c r="DO87" s="241"/>
      <c r="DP87" s="241"/>
      <c r="DQ87" s="241"/>
      <c r="DR87" s="242"/>
      <c r="DS87" s="242"/>
      <c r="DT87" s="242"/>
      <c r="DU87" s="242"/>
      <c r="DV87" s="242"/>
      <c r="DW87" s="242"/>
      <c r="DX87" s="242"/>
      <c r="DY87" s="242"/>
      <c r="DZ87" s="242"/>
      <c r="EA87" s="242"/>
      <c r="EB87" s="242"/>
      <c r="EC87" s="242"/>
      <c r="ED87" s="243"/>
      <c r="ES87" s="532"/>
      <c r="ET87" s="532"/>
      <c r="EU87" s="535"/>
      <c r="EV87" s="535"/>
      <c r="EW87" s="538"/>
      <c r="EX87" s="538"/>
    </row>
    <row r="88" spans="1:154">
      <c r="A88" s="346" t="s">
        <v>59</v>
      </c>
      <c r="B88" s="347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95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3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24"/>
      <c r="AL88" s="31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32"/>
      <c r="AX88" s="41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42"/>
      <c r="BJ88" s="5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52"/>
      <c r="BV88" s="58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64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243"/>
      <c r="ES88" s="532"/>
      <c r="ET88" s="532"/>
      <c r="EU88" s="535"/>
      <c r="EV88" s="535"/>
      <c r="EW88" s="538"/>
      <c r="EX88" s="538"/>
    </row>
    <row r="89" spans="1:154">
      <c r="A89" s="349" t="s">
        <v>155</v>
      </c>
      <c r="B89" s="347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95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3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24"/>
      <c r="AL89" s="31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33"/>
      <c r="AX89" s="43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42"/>
      <c r="BJ89" s="5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52"/>
      <c r="BV89" s="59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64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243"/>
      <c r="ES89" s="532"/>
      <c r="ET89" s="532"/>
      <c r="EU89" s="535"/>
      <c r="EV89" s="535"/>
      <c r="EW89" s="538"/>
      <c r="EX89" s="538"/>
    </row>
    <row r="90" spans="1:154">
      <c r="A90" s="349" t="s">
        <v>156</v>
      </c>
      <c r="B90" s="347"/>
      <c r="C90" s="348"/>
      <c r="D90" s="348"/>
      <c r="E90" s="348"/>
      <c r="F90" s="348"/>
      <c r="G90" s="348"/>
      <c r="H90" s="348"/>
      <c r="I90" s="348"/>
      <c r="J90" s="348"/>
      <c r="K90" s="348"/>
      <c r="L90" s="348"/>
      <c r="M90" s="95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3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24"/>
      <c r="AL90" s="31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32"/>
      <c r="AX90" s="43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42"/>
      <c r="BJ90" s="5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52"/>
      <c r="BV90" s="59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64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243"/>
      <c r="ES90" s="532"/>
      <c r="ET90" s="532"/>
      <c r="EU90" s="535"/>
      <c r="EV90" s="535"/>
      <c r="EW90" s="538"/>
      <c r="EX90" s="538"/>
    </row>
    <row r="91" spans="1:154" ht="13.5" thickBot="1">
      <c r="A91" s="350" t="s">
        <v>157</v>
      </c>
      <c r="B91" s="351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3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354"/>
      <c r="Y91" s="354"/>
      <c r="Z91" s="104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6"/>
      <c r="AL91" s="34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6"/>
      <c r="AX91" s="44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6"/>
      <c r="BJ91" s="53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5"/>
      <c r="BV91" s="60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5"/>
      <c r="CH91" s="355"/>
      <c r="CI91" s="355"/>
      <c r="CJ91" s="355"/>
      <c r="CK91" s="355"/>
      <c r="CL91" s="355"/>
      <c r="CM91" s="355"/>
      <c r="CN91" s="355"/>
      <c r="CO91" s="355"/>
      <c r="CP91" s="355"/>
      <c r="CQ91" s="355"/>
      <c r="CR91" s="355"/>
      <c r="CS91" s="355"/>
      <c r="CT91" s="356"/>
      <c r="CU91" s="356"/>
      <c r="CV91" s="356"/>
      <c r="CW91" s="356"/>
      <c r="CX91" s="356"/>
      <c r="CY91" s="356"/>
      <c r="CZ91" s="356"/>
      <c r="DA91" s="356"/>
      <c r="DB91" s="356"/>
      <c r="DC91" s="356"/>
      <c r="DD91" s="356"/>
      <c r="DE91" s="356"/>
      <c r="DF91" s="357"/>
      <c r="DG91" s="357"/>
      <c r="DH91" s="357"/>
      <c r="DI91" s="357"/>
      <c r="DJ91" s="357"/>
      <c r="DK91" s="357"/>
      <c r="DL91" s="357"/>
      <c r="DM91" s="357"/>
      <c r="DN91" s="357"/>
      <c r="DO91" s="357"/>
      <c r="DP91" s="357"/>
      <c r="DQ91" s="357"/>
      <c r="DR91" s="358"/>
      <c r="DS91" s="358"/>
      <c r="DT91" s="358"/>
      <c r="DU91" s="358"/>
      <c r="DV91" s="358"/>
      <c r="DW91" s="358"/>
      <c r="DX91" s="358"/>
      <c r="DY91" s="358"/>
      <c r="DZ91" s="358"/>
      <c r="EA91" s="358"/>
      <c r="EB91" s="358"/>
      <c r="EC91" s="358"/>
      <c r="ED91" s="359"/>
      <c r="ES91" s="532"/>
      <c r="ET91" s="532"/>
      <c r="EU91" s="535"/>
      <c r="EV91" s="535"/>
      <c r="EW91" s="538"/>
      <c r="EX91" s="538"/>
    </row>
  </sheetData>
  <sheetProtection password="D60A" sheet="1" objects="1" scenarios="1"/>
  <mergeCells count="6">
    <mergeCell ref="BJ1:BU1"/>
    <mergeCell ref="BV1:CG1"/>
    <mergeCell ref="B1:M1"/>
    <mergeCell ref="Z1:AK1"/>
    <mergeCell ref="AL1:AW1"/>
    <mergeCell ref="AX1:BI1"/>
  </mergeCells>
  <phoneticPr fontId="2" type="noConversion"/>
  <pageMargins left="0.74803149606299213" right="0.74803149606299213" top="0.98425196850393704" bottom="0.98425196850393704" header="0" footer="0"/>
  <pageSetup paperSize="9" scale="10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11" sqref="A11"/>
    </sheetView>
  </sheetViews>
  <sheetFormatPr baseColWidth="10" defaultRowHeight="12.75"/>
  <cols>
    <col min="1" max="1" width="28.28515625" bestFit="1" customWidth="1"/>
    <col min="2" max="2" width="15.42578125" bestFit="1" customWidth="1"/>
    <col min="3" max="3" width="15.140625" bestFit="1" customWidth="1"/>
    <col min="4" max="4" width="15.28515625" bestFit="1" customWidth="1"/>
    <col min="5" max="5" width="15" bestFit="1" customWidth="1"/>
  </cols>
  <sheetData>
    <row r="1" spans="1:10" ht="13.5" thickBot="1">
      <c r="A1" t="s">
        <v>361</v>
      </c>
    </row>
    <row r="2" spans="1:10" ht="15.75" thickBot="1">
      <c r="A2" s="452" t="str">
        <f>INDEX(H2:J2,DATA!G4)</f>
        <v>Calefacción kWh/m2</v>
      </c>
      <c r="B2" s="694" t="str">
        <f>INDEX(H10:J10,DATA!$G$4)</f>
        <v>Perdidas Situación Inicial</v>
      </c>
      <c r="C2" s="694" t="str">
        <f>INDEX(H11:J11,DATA!$G$4)</f>
        <v>Perdidas Situación Final</v>
      </c>
      <c r="D2" s="694" t="str">
        <f>INDEX(H12:J12,DATA!$G$4)</f>
        <v>Ganancias Situación Inicial</v>
      </c>
      <c r="E2" s="694" t="str">
        <f>INDEX(H13:J13,DATA!$G$4)</f>
        <v>Ganancias Situación Final</v>
      </c>
      <c r="H2" s="731" t="s">
        <v>353</v>
      </c>
      <c r="I2" s="452" t="s">
        <v>909</v>
      </c>
      <c r="J2" s="732" t="s">
        <v>1268</v>
      </c>
    </row>
    <row r="3" spans="1:10" ht="14.25">
      <c r="A3" s="453" t="str">
        <f>INDEX(H3:J3,DATA!$G$4)</f>
        <v>Ventanas</v>
      </c>
      <c r="B3" s="459">
        <f>'BalanceTermico Inicial'!O3</f>
        <v>10.712483751279622</v>
      </c>
      <c r="C3" s="459">
        <f>'BalanceTermico Final'!O3</f>
        <v>10.712483751279622</v>
      </c>
      <c r="D3" s="460">
        <f>'BalanceTermico Inicial'!O9</f>
        <v>-0.14079095668991432</v>
      </c>
      <c r="E3" s="460">
        <f>'BalanceTermico Final'!O9</f>
        <v>-0.14079095668991432</v>
      </c>
      <c r="H3" s="453" t="s">
        <v>278</v>
      </c>
      <c r="I3" s="453" t="s">
        <v>984</v>
      </c>
      <c r="J3" s="453" t="s">
        <v>1270</v>
      </c>
    </row>
    <row r="4" spans="1:10" ht="14.25">
      <c r="A4" s="453" t="str">
        <f>INDEX(H4:J4,DATA!$G$4)</f>
        <v>Cerramientos</v>
      </c>
      <c r="B4" s="459">
        <f>'BalanceTermico Inicial'!O4</f>
        <v>84.32414695229069</v>
      </c>
      <c r="C4" s="459">
        <f>'BalanceTermico Final'!O4</f>
        <v>84.32414695229069</v>
      </c>
      <c r="D4" s="460">
        <f>'BalanceTermico Inicial'!O10</f>
        <v>-1.1082469385361535</v>
      </c>
      <c r="E4" s="460">
        <f>'BalanceTermico Final'!O10</f>
        <v>-1.1082469385361535</v>
      </c>
      <c r="H4" s="454" t="s">
        <v>1266</v>
      </c>
      <c r="I4" s="454" t="s">
        <v>983</v>
      </c>
      <c r="J4" s="454" t="s">
        <v>1267</v>
      </c>
    </row>
    <row r="5" spans="1:10" ht="14.25">
      <c r="A5" s="453" t="str">
        <f>INDEX(H5:J5,DATA!$G$4)</f>
        <v>Suelo</v>
      </c>
      <c r="B5" s="459">
        <f>'BalanceTermico Inicial'!O5</f>
        <v>15.638295355450236</v>
      </c>
      <c r="C5" s="459">
        <f>'BalanceTermico Final'!O5</f>
        <v>15.638295355450236</v>
      </c>
      <c r="D5" s="460">
        <f>'BalanceTermico Inicial'!O11</f>
        <v>0</v>
      </c>
      <c r="E5" s="460">
        <f>'BalanceTermico Final'!O11</f>
        <v>0</v>
      </c>
      <c r="H5" s="454" t="s">
        <v>1264</v>
      </c>
      <c r="I5" s="454" t="s">
        <v>961</v>
      </c>
      <c r="J5" s="454" t="s">
        <v>1061</v>
      </c>
    </row>
    <row r="6" spans="1:10" ht="14.25">
      <c r="A6" s="453" t="str">
        <f>INDEX(H6:J6,DATA!$G$4)</f>
        <v>Infitración+Ventilación</v>
      </c>
      <c r="B6" s="459">
        <f>'BalanceTermico Inicial'!O6</f>
        <v>18.611348400000004</v>
      </c>
      <c r="C6" s="459">
        <f>'BalanceTermico Final'!O6</f>
        <v>18.611348400000004</v>
      </c>
      <c r="D6" s="461">
        <f>'BalanceTermico Inicial'!O12</f>
        <v>-0.24460336252200213</v>
      </c>
      <c r="E6" s="461">
        <f>'BalanceTermico Final'!O12</f>
        <v>-0.24460336252200213</v>
      </c>
      <c r="H6" s="454" t="s">
        <v>1280</v>
      </c>
      <c r="I6" s="454" t="s">
        <v>977</v>
      </c>
      <c r="J6" s="454" t="s">
        <v>1271</v>
      </c>
    </row>
    <row r="7" spans="1:10" ht="14.25">
      <c r="A7" s="453" t="str">
        <f>INDEX(H7:J7,DATA!$G$4)</f>
        <v>Ganancias solares</v>
      </c>
      <c r="D7" s="460">
        <f>'BalanceTermico Inicial'!O7</f>
        <v>-13.845813851347327</v>
      </c>
      <c r="E7" s="460">
        <f>'BalanceTermico Final'!O7</f>
        <v>-13.845813851347327</v>
      </c>
      <c r="H7" s="455" t="s">
        <v>1265</v>
      </c>
      <c r="I7" s="455" t="s">
        <v>912</v>
      </c>
      <c r="J7" s="455" t="s">
        <v>912</v>
      </c>
    </row>
    <row r="8" spans="1:10" ht="15" thickBot="1">
      <c r="A8" s="453" t="str">
        <f>INDEX(H8:J8,DATA!$G$4)</f>
        <v>Ganancias internas</v>
      </c>
      <c r="D8" s="460">
        <f>'BalanceTermico Inicial'!O8</f>
        <v>-8.8952685671272551</v>
      </c>
      <c r="E8" s="460">
        <f>'BalanceTermico Final'!O8</f>
        <v>-8.8952685671272551</v>
      </c>
      <c r="H8" s="455" t="s">
        <v>284</v>
      </c>
      <c r="I8" s="455" t="s">
        <v>213</v>
      </c>
      <c r="J8" s="455" t="s">
        <v>1272</v>
      </c>
    </row>
    <row r="9" spans="1:10" ht="15.75" thickBot="1">
      <c r="A9" s="456" t="s">
        <v>33</v>
      </c>
      <c r="B9" s="462">
        <f>'BalanceTermico Inicial'!O13</f>
        <v>105.0515507827979</v>
      </c>
      <c r="C9" s="462">
        <f>'BalanceTermico Final'!O13</f>
        <v>105.0515507827979</v>
      </c>
    </row>
    <row r="10" spans="1:10" ht="13.5" thickBot="1">
      <c r="H10" s="731" t="s">
        <v>1276</v>
      </c>
      <c r="I10" t="s">
        <v>978</v>
      </c>
      <c r="J10" s="731" t="s">
        <v>1273</v>
      </c>
    </row>
    <row r="11" spans="1:10" ht="15.75" thickBot="1">
      <c r="A11" s="452" t="str">
        <f>INDEX(H15:J15,DATA!G4)</f>
        <v>Refrigeración kWh/m2</v>
      </c>
      <c r="B11" s="694" t="str">
        <f>B2</f>
        <v>Perdidas Situación Inicial</v>
      </c>
      <c r="C11" s="694" t="str">
        <f>C2</f>
        <v>Perdidas Situación Final</v>
      </c>
      <c r="D11" s="731" t="str">
        <f>D2</f>
        <v>Ganancias Situación Inicial</v>
      </c>
      <c r="E11" s="732" t="str">
        <f>E2</f>
        <v>Ganancias Situación Final</v>
      </c>
      <c r="H11" s="731" t="s">
        <v>1277</v>
      </c>
      <c r="I11" t="s">
        <v>982</v>
      </c>
      <c r="J11" s="731" t="s">
        <v>1274</v>
      </c>
    </row>
    <row r="12" spans="1:10" ht="14.25">
      <c r="A12" s="453" t="str">
        <f>INDEX(H3:J3,DATA!$G$4)</f>
        <v>Ventanas</v>
      </c>
      <c r="B12" s="463">
        <f>'BalanceTermico Inicial'!O16</f>
        <v>-2.0534869470003763</v>
      </c>
      <c r="C12" s="463">
        <f>'BalanceTermico Final'!O16</f>
        <v>-2.0534869470003763</v>
      </c>
      <c r="D12" s="459">
        <f>'BalanceTermico Inicial'!O22</f>
        <v>0.1877899912796209</v>
      </c>
      <c r="E12" s="459">
        <f>'BalanceTermico Final'!O22</f>
        <v>0.1877899912796209</v>
      </c>
      <c r="H12" s="732" t="s">
        <v>1278</v>
      </c>
      <c r="I12" t="s">
        <v>980</v>
      </c>
      <c r="J12" s="732" t="s">
        <v>1269</v>
      </c>
    </row>
    <row r="13" spans="1:10" ht="14.25">
      <c r="A13" s="453" t="str">
        <f>INDEX(H4:J4,DATA!$G$4)</f>
        <v>Cerramientos</v>
      </c>
      <c r="B13" s="460">
        <f>'BalanceTermico Inicial'!O17</f>
        <v>-16.164181818505583</v>
      </c>
      <c r="C13" s="460">
        <f>'BalanceTermico Final'!O17</f>
        <v>-16.164181818505583</v>
      </c>
      <c r="D13" s="459">
        <f>'BalanceTermico Inicial'!O23</f>
        <v>1.4782034856240132</v>
      </c>
      <c r="E13" s="459">
        <f>'BalanceTermico Final'!O23</f>
        <v>1.4782034856240132</v>
      </c>
      <c r="H13" s="732" t="s">
        <v>1279</v>
      </c>
      <c r="I13" t="s">
        <v>981</v>
      </c>
      <c r="J13" s="732" t="s">
        <v>1275</v>
      </c>
    </row>
    <row r="14" spans="1:10" ht="15" thickBot="1">
      <c r="A14" s="453" t="str">
        <f>INDEX(H5:J5,DATA!$G$4)</f>
        <v>Suelo</v>
      </c>
      <c r="B14" s="460">
        <f>'BalanceTermico Inicial'!O18</f>
        <v>-3.625868964467049</v>
      </c>
      <c r="C14" s="460">
        <f>'BalanceTermico Final'!O18</f>
        <v>-3.625868964467049</v>
      </c>
      <c r="D14" s="459">
        <f>'BalanceTermico Inicial'!O24</f>
        <v>0</v>
      </c>
      <c r="E14" s="459">
        <f>'BalanceTermico Final'!O24</f>
        <v>0</v>
      </c>
    </row>
    <row r="15" spans="1:10" ht="15.75" thickBot="1">
      <c r="A15" s="453" t="str">
        <f>INDEX(H6:J6,DATA!$G$4)</f>
        <v>Infitración+Ventilación</v>
      </c>
      <c r="B15" s="460">
        <f>'BalanceTermico Inicial'!O19</f>
        <v>-21.405770254304173</v>
      </c>
      <c r="C15" s="460">
        <f>'BalanceTermico Final'!O19</f>
        <v>-21.405770254304173</v>
      </c>
      <c r="D15" s="464">
        <f>'BalanceTermico Inicial'!O25</f>
        <v>0.32625720000000014</v>
      </c>
      <c r="E15" s="464">
        <f>'BalanceTermico Final'!O25</f>
        <v>0.32625720000000014</v>
      </c>
      <c r="H15" s="731" t="s">
        <v>354</v>
      </c>
      <c r="I15" s="452" t="s">
        <v>910</v>
      </c>
      <c r="J15" s="731" t="s">
        <v>1281</v>
      </c>
    </row>
    <row r="16" spans="1:10" ht="14.25">
      <c r="A16" s="453" t="str">
        <f>INDEX(H7:J7,DATA!$G$4)</f>
        <v>Ganancias solares</v>
      </c>
      <c r="D16" s="459">
        <f>'BalanceTermico Inicial'!O20</f>
        <v>65.178841969813419</v>
      </c>
      <c r="E16" s="459">
        <f>'BalanceTermico Final'!O20</f>
        <v>65.178841969813419</v>
      </c>
    </row>
    <row r="17" spans="1:5" ht="15" thickBot="1">
      <c r="A17" s="453" t="str">
        <f>INDEX(H8:J8,DATA!$G$4)</f>
        <v>Ganancias internas</v>
      </c>
      <c r="D17" s="459">
        <f>'BalanceTermico Inicial'!O21</f>
        <v>7.3440000000000012</v>
      </c>
      <c r="E17" s="459">
        <f>'BalanceTermico Final'!O21</f>
        <v>7.3440000000000012</v>
      </c>
    </row>
    <row r="18" spans="1:5" ht="15.75" thickBot="1">
      <c r="A18" s="458" t="s">
        <v>33</v>
      </c>
      <c r="B18" s="462">
        <f>'BalanceTermico Inicial'!O26</f>
        <v>31.265784662439877</v>
      </c>
      <c r="C18" s="462">
        <f>'BalanceTermico Final'!O26</f>
        <v>31.265784662439877</v>
      </c>
    </row>
  </sheetData>
  <sheetProtection password="D60A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Gráficos</vt:lpstr>
      </vt:variant>
      <vt:variant>
        <vt:i4>4</vt:i4>
      </vt:variant>
    </vt:vector>
  </HeadingPairs>
  <TitlesOfParts>
    <vt:vector size="16" baseType="lpstr">
      <vt:lpstr>DATA</vt:lpstr>
      <vt:lpstr>TranslationInterface</vt:lpstr>
      <vt:lpstr>Default data</vt:lpstr>
      <vt:lpstr>CalculationBefore</vt:lpstr>
      <vt:lpstr>BalanceTermico Inicial</vt:lpstr>
      <vt:lpstr>BalanceTermico Final</vt:lpstr>
      <vt:lpstr>CalculationAfter</vt:lpstr>
      <vt:lpstr>Cities</vt:lpstr>
      <vt:lpstr>ComparacionRehabilitacion</vt:lpstr>
      <vt:lpstr>Products</vt:lpstr>
      <vt:lpstr>Costs</vt:lpstr>
      <vt:lpstr>Detailled</vt:lpstr>
      <vt:lpstr>HEATING</vt:lpstr>
      <vt:lpstr>DET_HEAT</vt:lpstr>
      <vt:lpstr>COOLING</vt:lpstr>
      <vt:lpstr>DETAILED_COOL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SOLE</dc:creator>
  <cp:lastModifiedBy>Herranz Garcia, Silvia</cp:lastModifiedBy>
  <cp:lastPrinted>2012-07-30T07:02:37Z</cp:lastPrinted>
  <dcterms:created xsi:type="dcterms:W3CDTF">2003-04-26T08:28:58Z</dcterms:created>
  <dcterms:modified xsi:type="dcterms:W3CDTF">2020-02-10T07:59:48Z</dcterms:modified>
</cp:coreProperties>
</file>